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8448" tabRatio="800" firstSheet="5" activeTab="14"/>
  </bookViews>
  <sheets>
    <sheet name="ДДЮТ" sheetId="19" r:id="rId1"/>
    <sheet name="Лист1 (2)" sheetId="49" r:id="rId2"/>
    <sheet name="Лист1 (3)" sheetId="50" r:id="rId3"/>
    <sheet name="Лист2" sheetId="51" r:id="rId4"/>
    <sheet name="Лист3" sheetId="52" r:id="rId5"/>
    <sheet name="Лист5" sheetId="53" r:id="rId6"/>
    <sheet name="Лист6" sheetId="54" r:id="rId7"/>
    <sheet name="Лист6 (247)" sheetId="55" r:id="rId8"/>
    <sheet name="Лист7" sheetId="56" r:id="rId9"/>
    <sheet name="Лист8" sheetId="57" r:id="rId10"/>
    <sheet name="Лист1 (4)" sheetId="58" r:id="rId11"/>
    <sheet name="Лист1 (5)" sheetId="59" r:id="rId12"/>
    <sheet name="Лист2 (2)" sheetId="60" r:id="rId13"/>
    <sheet name="Лист3 (2)" sheetId="61" r:id="rId14"/>
    <sheet name="Лист5 (2)" sheetId="62" r:id="rId15"/>
    <sheet name="Лист6 (2)" sheetId="63" r:id="rId16"/>
    <sheet name="Лист6 (244)" sheetId="64" r:id="rId17"/>
    <sheet name="Лист7 (2)" sheetId="65" r:id="rId18"/>
    <sheet name="Лист8 (2)" sheetId="66" r:id="rId19"/>
  </sheets>
  <calcPr calcId="162913"/>
</workbook>
</file>

<file path=xl/calcChain.xml><?xml version="1.0" encoding="utf-8"?>
<calcChain xmlns="http://schemas.openxmlformats.org/spreadsheetml/2006/main">
  <c r="K67" i="19" l="1"/>
  <c r="CH61" i="65"/>
  <c r="BN61" i="65"/>
  <c r="CH60" i="65"/>
  <c r="CH34" i="63"/>
  <c r="CG34" i="63"/>
  <c r="CF34" i="63"/>
  <c r="CD34" i="63"/>
  <c r="BP34" i="63"/>
  <c r="CD33" i="63"/>
  <c r="CH23" i="63"/>
  <c r="CD23" i="63"/>
  <c r="BJ23" i="63"/>
  <c r="CH22" i="63"/>
  <c r="BJ22" i="63"/>
  <c r="CD13" i="63"/>
  <c r="CC13" i="63"/>
  <c r="BP13" i="63"/>
  <c r="CD12" i="63"/>
  <c r="BP12" i="63"/>
  <c r="CD11" i="63"/>
  <c r="BP11" i="63"/>
  <c r="CD10" i="63"/>
  <c r="BP10" i="63"/>
  <c r="CG11" i="62"/>
  <c r="BN11" i="62"/>
  <c r="CG10" i="62"/>
  <c r="BN10" i="62"/>
  <c r="CD56" i="61"/>
  <c r="BN56" i="61"/>
  <c r="CD55" i="61"/>
  <c r="CH31" i="61"/>
  <c r="BJ31" i="61"/>
  <c r="CH30" i="61"/>
  <c r="CH25" i="61"/>
  <c r="CD25" i="61"/>
  <c r="BJ25" i="61"/>
  <c r="CD23" i="61"/>
  <c r="CD76" i="60"/>
  <c r="BN76" i="60"/>
  <c r="CD74" i="60"/>
  <c r="BN74" i="60"/>
  <c r="BB74" i="60"/>
  <c r="BN68" i="60"/>
  <c r="BB68" i="60"/>
  <c r="CD63" i="60"/>
  <c r="BN63" i="60"/>
  <c r="BB63" i="60"/>
  <c r="CD61" i="60"/>
  <c r="BN61" i="60"/>
  <c r="CD56" i="60"/>
  <c r="BN56" i="60"/>
  <c r="CD55" i="60"/>
  <c r="BN55" i="60"/>
  <c r="N20" i="59"/>
  <c r="I20" i="59"/>
  <c r="N19" i="59"/>
  <c r="I19" i="59"/>
  <c r="E19" i="59"/>
  <c r="D19" i="59"/>
  <c r="H67" i="58"/>
  <c r="G67" i="58"/>
  <c r="F67" i="58"/>
  <c r="H66" i="58"/>
  <c r="F66" i="58"/>
  <c r="N58" i="58"/>
  <c r="J58" i="58"/>
  <c r="I58" i="58"/>
  <c r="H58" i="58"/>
  <c r="D58" i="58"/>
  <c r="J57" i="58"/>
  <c r="H57" i="58"/>
  <c r="G57" i="58"/>
  <c r="D57" i="58"/>
  <c r="J56" i="58"/>
  <c r="H56" i="58"/>
  <c r="G56" i="58"/>
  <c r="D56" i="58"/>
  <c r="J55" i="58"/>
  <c r="H55" i="58"/>
  <c r="G55" i="58"/>
  <c r="D55" i="58"/>
  <c r="J54" i="58"/>
  <c r="H54" i="58"/>
  <c r="G54" i="58"/>
  <c r="D54" i="58"/>
  <c r="J53" i="58"/>
  <c r="H53" i="58"/>
  <c r="G53" i="58"/>
  <c r="D53" i="58"/>
  <c r="J52" i="58"/>
  <c r="H52" i="58"/>
  <c r="G52" i="58"/>
  <c r="D52" i="58"/>
  <c r="J51" i="58"/>
  <c r="H51" i="58"/>
  <c r="G51" i="58"/>
  <c r="D51" i="58"/>
  <c r="J50" i="58"/>
  <c r="H50" i="58"/>
  <c r="G50" i="58"/>
  <c r="D50" i="58"/>
  <c r="J49" i="58"/>
  <c r="H49" i="58"/>
  <c r="G49" i="58"/>
  <c r="D49" i="58"/>
  <c r="J48" i="58"/>
  <c r="H48" i="58"/>
  <c r="G48" i="58"/>
  <c r="D48" i="58"/>
  <c r="J47" i="58"/>
  <c r="H47" i="58"/>
  <c r="G47" i="58"/>
  <c r="D47" i="58"/>
  <c r="J46" i="58"/>
  <c r="H46" i="58"/>
  <c r="G46" i="58"/>
  <c r="D46" i="58"/>
  <c r="J45" i="58"/>
  <c r="H45" i="58"/>
  <c r="G45" i="58"/>
  <c r="D45" i="58"/>
  <c r="J44" i="58"/>
  <c r="H44" i="58"/>
  <c r="G44" i="58"/>
  <c r="D44" i="58"/>
  <c r="J43" i="58"/>
  <c r="H43" i="58"/>
  <c r="G43" i="58"/>
  <c r="D43" i="58"/>
  <c r="J42" i="58"/>
  <c r="H42" i="58"/>
  <c r="G42" i="58"/>
  <c r="D42" i="58"/>
  <c r="J41" i="58"/>
  <c r="H41" i="58"/>
  <c r="G41" i="58"/>
  <c r="D41" i="58"/>
  <c r="J40" i="58"/>
  <c r="H40" i="58"/>
  <c r="G40" i="58"/>
  <c r="D40" i="58"/>
  <c r="J39" i="58"/>
  <c r="H39" i="58"/>
  <c r="G39" i="58"/>
  <c r="D39" i="58"/>
  <c r="J38" i="58"/>
  <c r="H38" i="58"/>
  <c r="G38" i="58"/>
  <c r="D38" i="58"/>
  <c r="J37" i="58"/>
  <c r="H37" i="58"/>
  <c r="G37" i="58"/>
  <c r="D37" i="58"/>
  <c r="J36" i="58"/>
  <c r="H36" i="58"/>
  <c r="G36" i="58"/>
  <c r="D36" i="58"/>
  <c r="J35" i="58"/>
  <c r="H35" i="58"/>
  <c r="G35" i="58"/>
  <c r="D35" i="58"/>
  <c r="J34" i="58"/>
  <c r="H34" i="58"/>
  <c r="G34" i="58"/>
  <c r="E34" i="58"/>
  <c r="D34" i="58"/>
  <c r="J33" i="58"/>
  <c r="H33" i="58"/>
  <c r="G33" i="58"/>
  <c r="D33" i="58"/>
  <c r="J32" i="58"/>
  <c r="H32" i="58"/>
  <c r="G32" i="58"/>
  <c r="D32" i="58"/>
  <c r="C32" i="58"/>
  <c r="J31" i="58"/>
  <c r="H31" i="58"/>
  <c r="G31" i="58"/>
  <c r="D31" i="58"/>
  <c r="C31" i="58"/>
  <c r="J30" i="58"/>
  <c r="H30" i="58"/>
  <c r="G30" i="58"/>
  <c r="D30" i="58"/>
  <c r="J29" i="58"/>
  <c r="H29" i="58"/>
  <c r="G29" i="58"/>
  <c r="D29" i="58"/>
  <c r="J28" i="58"/>
  <c r="H28" i="58"/>
  <c r="G28" i="58"/>
  <c r="D28" i="58"/>
  <c r="J27" i="58"/>
  <c r="H27" i="58"/>
  <c r="G27" i="58"/>
  <c r="D27" i="58"/>
  <c r="J26" i="58"/>
  <c r="H26" i="58"/>
  <c r="G26" i="58"/>
  <c r="D26" i="58"/>
  <c r="J25" i="58"/>
  <c r="H25" i="58"/>
  <c r="G25" i="58"/>
  <c r="E25" i="58"/>
  <c r="D25" i="58"/>
  <c r="J24" i="58"/>
  <c r="H24" i="58"/>
  <c r="G24" i="58"/>
  <c r="E24" i="58"/>
  <c r="D24" i="58"/>
  <c r="J23" i="58"/>
  <c r="H23" i="58"/>
  <c r="G23" i="58"/>
  <c r="E23" i="58"/>
  <c r="D23" i="58"/>
  <c r="J22" i="58"/>
  <c r="H22" i="58"/>
  <c r="G22" i="58"/>
  <c r="D22" i="58"/>
  <c r="DG147" i="56"/>
  <c r="DG145" i="56"/>
  <c r="DG143" i="56"/>
  <c r="DG138" i="56"/>
  <c r="DG135" i="56"/>
  <c r="DG133" i="56"/>
  <c r="CI131" i="56"/>
  <c r="CH131" i="56"/>
  <c r="CG131" i="56"/>
  <c r="CF131" i="56"/>
  <c r="CD131" i="56"/>
  <c r="BN131" i="56"/>
  <c r="CD130" i="56"/>
  <c r="BN130" i="56"/>
  <c r="BN129" i="56"/>
  <c r="BC129" i="56"/>
  <c r="BN128" i="56"/>
  <c r="BC128" i="56"/>
  <c r="BN127" i="56"/>
  <c r="BC127" i="56"/>
  <c r="BN126" i="56"/>
  <c r="BC126" i="56"/>
  <c r="BN125" i="56"/>
  <c r="BC125" i="56"/>
  <c r="BN124" i="56"/>
  <c r="BC124" i="56"/>
  <c r="BN123" i="56"/>
  <c r="BC123" i="56"/>
  <c r="BN122" i="56"/>
  <c r="BC122" i="56"/>
  <c r="BN121" i="56"/>
  <c r="BC121" i="56"/>
  <c r="BN120" i="56"/>
  <c r="BC120" i="56"/>
  <c r="BN119" i="56"/>
  <c r="BC119" i="56"/>
  <c r="BN118" i="56"/>
  <c r="BC118" i="56"/>
  <c r="CH117" i="56"/>
  <c r="BN117" i="56"/>
  <c r="CG116" i="56"/>
  <c r="BN116" i="56"/>
  <c r="CI115" i="56"/>
  <c r="CH115" i="56"/>
  <c r="CG115" i="56"/>
  <c r="CF115" i="56"/>
  <c r="CD115" i="56"/>
  <c r="BN115" i="56"/>
  <c r="BN114" i="56"/>
  <c r="BN113" i="56"/>
  <c r="BN112" i="56"/>
  <c r="CD111" i="56"/>
  <c r="BN111" i="56"/>
  <c r="CD110" i="56"/>
  <c r="BN110" i="56"/>
  <c r="CD109" i="56"/>
  <c r="BN109" i="56"/>
  <c r="DH108" i="56"/>
  <c r="DB108" i="56"/>
  <c r="CI108" i="56"/>
  <c r="CD108" i="56"/>
  <c r="BN108" i="56"/>
  <c r="CD107" i="56"/>
  <c r="BN107" i="56"/>
  <c r="BC107" i="56"/>
  <c r="DG106" i="56"/>
  <c r="CI106" i="56"/>
  <c r="CD106" i="56"/>
  <c r="BN106" i="56"/>
  <c r="BC106" i="56"/>
  <c r="DH105" i="56"/>
  <c r="DG105" i="56"/>
  <c r="DB105" i="56"/>
  <c r="CI105" i="56"/>
  <c r="CD105" i="56"/>
  <c r="BN105" i="56"/>
  <c r="BC105" i="56"/>
  <c r="CI103" i="56"/>
  <c r="CD103" i="56"/>
  <c r="BN103" i="56"/>
  <c r="CD102" i="56"/>
  <c r="BN102" i="56"/>
  <c r="BC102" i="56"/>
  <c r="CI100" i="56"/>
  <c r="BN100" i="56"/>
  <c r="CI99" i="56"/>
  <c r="BN99" i="56"/>
  <c r="CI86" i="56"/>
  <c r="CH86" i="56"/>
  <c r="CG86" i="56"/>
  <c r="CF86" i="56"/>
  <c r="CD86" i="56"/>
  <c r="BN86" i="56"/>
  <c r="BN85" i="56"/>
  <c r="BC85" i="56"/>
  <c r="BN84" i="56"/>
  <c r="BC84" i="56"/>
  <c r="BN83" i="56"/>
  <c r="BC83" i="56"/>
  <c r="BN82" i="56"/>
  <c r="BC82" i="56"/>
  <c r="BN81" i="56"/>
  <c r="BC81" i="56"/>
  <c r="CD80" i="56"/>
  <c r="BN80" i="56"/>
  <c r="CD79" i="56"/>
  <c r="BN79" i="56"/>
  <c r="BC79" i="56"/>
  <c r="CI78" i="56"/>
  <c r="BN78" i="56"/>
  <c r="BC78" i="56"/>
  <c r="CI77" i="56"/>
  <c r="BN77" i="56"/>
  <c r="BC77" i="56"/>
  <c r="CD76" i="56"/>
  <c r="BN76" i="56"/>
  <c r="CD75" i="56"/>
  <c r="BN75" i="56"/>
  <c r="CI57" i="56"/>
  <c r="CH57" i="56"/>
  <c r="CG57" i="56"/>
  <c r="CF57" i="56"/>
  <c r="CD57" i="56"/>
  <c r="BN57" i="56"/>
  <c r="CH56" i="56"/>
  <c r="BN56" i="56"/>
  <c r="AO56" i="56"/>
  <c r="CG55" i="56"/>
  <c r="BN55" i="56"/>
  <c r="AO55" i="56"/>
  <c r="CI54" i="56"/>
  <c r="BN54" i="56"/>
  <c r="AO54" i="56"/>
  <c r="CI52" i="56"/>
  <c r="AO52" i="56"/>
  <c r="CI51" i="56"/>
  <c r="BN51" i="56"/>
  <c r="AO51" i="56"/>
  <c r="CD50" i="56"/>
  <c r="BN50" i="56"/>
  <c r="CD49" i="56"/>
  <c r="BN49" i="56"/>
  <c r="DH48" i="56"/>
  <c r="DB48" i="56"/>
  <c r="CD48" i="56"/>
  <c r="BN48" i="56"/>
  <c r="CD47" i="56"/>
  <c r="BN47" i="56"/>
  <c r="CD46" i="56"/>
  <c r="BN46" i="56"/>
  <c r="CD45" i="56"/>
  <c r="BN45" i="56"/>
  <c r="AO45" i="56"/>
  <c r="DH44" i="56"/>
  <c r="DB44" i="56"/>
  <c r="CD44" i="56"/>
  <c r="BN44" i="56"/>
  <c r="CD43" i="56"/>
  <c r="BN43" i="56"/>
  <c r="CD42" i="56"/>
  <c r="BN42" i="56"/>
  <c r="CD41" i="56"/>
  <c r="BN41" i="56"/>
  <c r="DH40" i="56"/>
  <c r="DG40" i="56"/>
  <c r="DB40" i="56"/>
  <c r="CD40" i="56"/>
  <c r="BN40" i="56"/>
  <c r="CD39" i="56"/>
  <c r="BN39" i="56"/>
  <c r="BN38" i="56"/>
  <c r="CD37" i="56"/>
  <c r="BN37" i="56"/>
  <c r="CI28" i="56"/>
  <c r="CH28" i="56"/>
  <c r="CG28" i="56"/>
  <c r="CF28" i="56"/>
  <c r="CD28" i="56"/>
  <c r="BN28" i="56"/>
  <c r="CD27" i="56"/>
  <c r="BN27" i="56"/>
  <c r="DG26" i="56"/>
  <c r="CD26" i="56"/>
  <c r="BN26" i="56"/>
  <c r="CD25" i="56"/>
  <c r="BN25" i="56"/>
  <c r="CD24" i="56"/>
  <c r="BN24" i="56"/>
  <c r="CD23" i="56"/>
  <c r="BN23" i="56"/>
  <c r="CD22" i="56"/>
  <c r="BN22" i="56"/>
  <c r="CD21" i="56"/>
  <c r="BN21" i="56"/>
  <c r="CD20" i="56"/>
  <c r="BN20" i="56"/>
  <c r="CD19" i="56"/>
  <c r="BN19" i="56"/>
  <c r="CD18" i="56"/>
  <c r="BN18" i="56"/>
  <c r="CD17" i="56"/>
  <c r="BN17" i="56"/>
  <c r="AN17" i="56"/>
  <c r="CD16" i="56"/>
  <c r="BN16" i="56"/>
  <c r="DG15" i="56"/>
  <c r="DB15" i="56"/>
  <c r="CD15" i="56"/>
  <c r="BN15" i="56"/>
  <c r="AN15" i="56"/>
  <c r="CD14" i="56"/>
  <c r="BN14" i="56"/>
  <c r="CD13" i="56"/>
  <c r="BN13" i="56"/>
  <c r="CD12" i="56"/>
  <c r="BN12" i="56"/>
  <c r="CD11" i="56"/>
  <c r="BN11" i="56"/>
  <c r="CD10" i="56"/>
  <c r="BN10" i="56"/>
  <c r="CD9" i="56"/>
  <c r="BN9" i="56"/>
  <c r="CD8" i="56"/>
  <c r="BN8" i="56"/>
  <c r="CH36" i="55"/>
  <c r="CG36" i="55"/>
  <c r="CF36" i="55"/>
  <c r="CD36" i="55"/>
  <c r="BP36" i="55"/>
  <c r="CD35" i="55"/>
  <c r="BP35" i="55"/>
  <c r="AU35" i="55"/>
  <c r="CD34" i="55"/>
  <c r="BP34" i="55"/>
  <c r="AU34" i="55"/>
  <c r="AJ34" i="55"/>
  <c r="AU33" i="55"/>
  <c r="AJ33" i="55"/>
  <c r="CH23" i="55"/>
  <c r="CD23" i="55"/>
  <c r="BJ23" i="55"/>
  <c r="CD22" i="55"/>
  <c r="BJ22" i="55"/>
  <c r="CD13" i="55"/>
  <c r="CC13" i="55"/>
  <c r="BP13" i="55"/>
  <c r="CH46" i="54"/>
  <c r="CG46" i="54"/>
  <c r="CF46" i="54"/>
  <c r="CD46" i="54"/>
  <c r="BP46" i="54"/>
  <c r="CD45" i="54"/>
  <c r="BP45" i="54"/>
  <c r="CD44" i="54"/>
  <c r="BP44" i="54"/>
  <c r="AU44" i="54"/>
  <c r="AJ44" i="54"/>
  <c r="CD43" i="54"/>
  <c r="BP43" i="54"/>
  <c r="AU43" i="54"/>
  <c r="AJ43" i="54"/>
  <c r="CD42" i="54"/>
  <c r="BP42" i="54"/>
  <c r="AU42" i="54"/>
  <c r="AJ42" i="54"/>
  <c r="CD41" i="54"/>
  <c r="BP41" i="54"/>
  <c r="AU41" i="54"/>
  <c r="AJ41" i="54"/>
  <c r="CD40" i="54"/>
  <c r="BP40" i="54"/>
  <c r="CD39" i="54"/>
  <c r="BP39" i="54"/>
  <c r="CD38" i="54"/>
  <c r="BP38" i="54"/>
  <c r="AU38" i="54"/>
  <c r="AJ38" i="54"/>
  <c r="CD37" i="54"/>
  <c r="BP37" i="54"/>
  <c r="AU37" i="54"/>
  <c r="AJ37" i="54"/>
  <c r="CD36" i="54"/>
  <c r="BP36" i="54"/>
  <c r="AU36" i="54"/>
  <c r="AJ36" i="54"/>
  <c r="CD35" i="54"/>
  <c r="BP35" i="54"/>
  <c r="AU35" i="54"/>
  <c r="AJ35" i="54"/>
  <c r="CW34" i="54"/>
  <c r="CD34" i="54"/>
  <c r="BP34" i="54"/>
  <c r="CH24" i="54"/>
  <c r="CD24" i="54"/>
  <c r="BJ24" i="54"/>
  <c r="CH23" i="54"/>
  <c r="BJ23" i="54"/>
  <c r="CD14" i="54"/>
  <c r="CC14" i="54"/>
  <c r="BP14" i="54"/>
  <c r="CD13" i="54"/>
  <c r="BP13" i="54"/>
  <c r="CD12" i="54"/>
  <c r="BP12" i="54"/>
  <c r="CW11" i="54"/>
  <c r="CD11" i="54"/>
  <c r="BP11" i="54"/>
  <c r="CW10" i="54"/>
  <c r="CD10" i="54"/>
  <c r="BP10" i="54"/>
  <c r="CG11" i="53"/>
  <c r="BN11" i="53"/>
  <c r="CG10" i="53"/>
  <c r="BN10" i="53"/>
  <c r="CD56" i="52"/>
  <c r="BN56" i="52"/>
  <c r="CD55" i="52"/>
  <c r="CH31" i="52"/>
  <c r="BJ31" i="52"/>
  <c r="CH30" i="52"/>
  <c r="CH25" i="52"/>
  <c r="CD25" i="52"/>
  <c r="BJ25" i="52"/>
  <c r="CD23" i="52"/>
  <c r="CE94" i="51"/>
  <c r="CD94" i="51"/>
  <c r="CA94" i="51"/>
  <c r="BZ94" i="51"/>
  <c r="BN94" i="51"/>
  <c r="CA92" i="51"/>
  <c r="BN92" i="51"/>
  <c r="CE90" i="51"/>
  <c r="BN90" i="51"/>
  <c r="BB90" i="51"/>
  <c r="CA88" i="51"/>
  <c r="BN88" i="51"/>
  <c r="BB88" i="51"/>
  <c r="CA82" i="51"/>
  <c r="BN82" i="51"/>
  <c r="CE80" i="51"/>
  <c r="BN80" i="51"/>
  <c r="BB80" i="51"/>
  <c r="CA78" i="51"/>
  <c r="BN78" i="51"/>
  <c r="BB78" i="51"/>
  <c r="CA73" i="51"/>
  <c r="BN73" i="51"/>
  <c r="CE70" i="51"/>
  <c r="BN70" i="51"/>
  <c r="BB70" i="51"/>
  <c r="CA67" i="51"/>
  <c r="BN67" i="51"/>
  <c r="BB67" i="51"/>
  <c r="CA61" i="51"/>
  <c r="BN61" i="51"/>
  <c r="CE59" i="51"/>
  <c r="BN59" i="51"/>
  <c r="CA57" i="51"/>
  <c r="BN57" i="51"/>
  <c r="CA35" i="51"/>
  <c r="BM35" i="51"/>
  <c r="CP34" i="51"/>
  <c r="CA34" i="51"/>
  <c r="BM34" i="51"/>
  <c r="CA33" i="51"/>
  <c r="BM33" i="51"/>
  <c r="DN32" i="51"/>
  <c r="DI32" i="51"/>
  <c r="CP32" i="51"/>
  <c r="CA32" i="51"/>
  <c r="BM32" i="51"/>
  <c r="CA23" i="51"/>
  <c r="BM23" i="51"/>
  <c r="CA22" i="51"/>
  <c r="BM22" i="51"/>
  <c r="CA11" i="51"/>
  <c r="BM11" i="51"/>
  <c r="CA10" i="51"/>
  <c r="BM10" i="51"/>
  <c r="CA9" i="51"/>
  <c r="BM9" i="51"/>
  <c r="CA8" i="51"/>
  <c r="BM8" i="51"/>
  <c r="I75" i="50"/>
  <c r="H75" i="50"/>
  <c r="F75" i="50"/>
  <c r="I74" i="50"/>
  <c r="F74" i="50"/>
  <c r="O66" i="50"/>
  <c r="K66" i="50"/>
  <c r="J66" i="50"/>
  <c r="I66" i="50"/>
  <c r="G66" i="50"/>
  <c r="K65" i="50"/>
  <c r="I65" i="50"/>
  <c r="H65" i="50"/>
  <c r="D65" i="50"/>
  <c r="K64" i="50"/>
  <c r="I64" i="50"/>
  <c r="H64" i="50"/>
  <c r="D64" i="50"/>
  <c r="K63" i="50"/>
  <c r="I63" i="50"/>
  <c r="H63" i="50"/>
  <c r="D63" i="50"/>
  <c r="K62" i="50"/>
  <c r="I62" i="50"/>
  <c r="H62" i="50"/>
  <c r="D62" i="50"/>
  <c r="K61" i="50"/>
  <c r="I61" i="50"/>
  <c r="H61" i="50"/>
  <c r="D61" i="50"/>
  <c r="K60" i="50"/>
  <c r="I60" i="50"/>
  <c r="H60" i="50"/>
  <c r="D60" i="50"/>
  <c r="K59" i="50"/>
  <c r="I59" i="50"/>
  <c r="H59" i="50"/>
  <c r="D59" i="50"/>
  <c r="K58" i="50"/>
  <c r="I58" i="50"/>
  <c r="H58" i="50"/>
  <c r="D58" i="50"/>
  <c r="K57" i="50"/>
  <c r="I57" i="50"/>
  <c r="H57" i="50"/>
  <c r="D57" i="50"/>
  <c r="K56" i="50"/>
  <c r="I56" i="50"/>
  <c r="H56" i="50"/>
  <c r="D56" i="50"/>
  <c r="K55" i="50"/>
  <c r="I55" i="50"/>
  <c r="H55" i="50"/>
  <c r="D55" i="50"/>
  <c r="K54" i="50"/>
  <c r="I54" i="50"/>
  <c r="H54" i="50"/>
  <c r="D54" i="50"/>
  <c r="K53" i="50"/>
  <c r="I53" i="50"/>
  <c r="H53" i="50"/>
  <c r="D53" i="50"/>
  <c r="K52" i="50"/>
  <c r="I52" i="50"/>
  <c r="H52" i="50"/>
  <c r="D52" i="50"/>
  <c r="K51" i="50"/>
  <c r="I51" i="50"/>
  <c r="H51" i="50"/>
  <c r="D51" i="50"/>
  <c r="K50" i="50"/>
  <c r="I50" i="50"/>
  <c r="H50" i="50"/>
  <c r="D50" i="50"/>
  <c r="K49" i="50"/>
  <c r="I49" i="50"/>
  <c r="H49" i="50"/>
  <c r="D49" i="50"/>
  <c r="K48" i="50"/>
  <c r="I48" i="50"/>
  <c r="H48" i="50"/>
  <c r="D48" i="50"/>
  <c r="K47" i="50"/>
  <c r="I47" i="50"/>
  <c r="H47" i="50"/>
  <c r="D47" i="50"/>
  <c r="K46" i="50"/>
  <c r="I46" i="50"/>
  <c r="H46" i="50"/>
  <c r="D46" i="50"/>
  <c r="K45" i="50"/>
  <c r="I45" i="50"/>
  <c r="H45" i="50"/>
  <c r="D45" i="50"/>
  <c r="K44" i="50"/>
  <c r="I44" i="50"/>
  <c r="H44" i="50"/>
  <c r="D44" i="50"/>
  <c r="K43" i="50"/>
  <c r="I43" i="50"/>
  <c r="H43" i="50"/>
  <c r="D43" i="50"/>
  <c r="K42" i="50"/>
  <c r="I42" i="50"/>
  <c r="H42" i="50"/>
  <c r="D42" i="50"/>
  <c r="K41" i="50"/>
  <c r="I41" i="50"/>
  <c r="H41" i="50"/>
  <c r="D41" i="50"/>
  <c r="K40" i="50"/>
  <c r="I40" i="50"/>
  <c r="H40" i="50"/>
  <c r="D40" i="50"/>
  <c r="K39" i="50"/>
  <c r="I39" i="50"/>
  <c r="H39" i="50"/>
  <c r="D39" i="50"/>
  <c r="K38" i="50"/>
  <c r="I38" i="50"/>
  <c r="H38" i="50"/>
  <c r="D38" i="50"/>
  <c r="K37" i="50"/>
  <c r="I37" i="50"/>
  <c r="H37" i="50"/>
  <c r="D37" i="50"/>
  <c r="K36" i="50"/>
  <c r="I36" i="50"/>
  <c r="H36" i="50"/>
  <c r="D36" i="50"/>
  <c r="K35" i="50"/>
  <c r="I35" i="50"/>
  <c r="H35" i="50"/>
  <c r="D35" i="50"/>
  <c r="K34" i="50"/>
  <c r="I34" i="50"/>
  <c r="H34" i="50"/>
  <c r="D34" i="50"/>
  <c r="K33" i="50"/>
  <c r="I33" i="50"/>
  <c r="H33" i="50"/>
  <c r="D33" i="50"/>
  <c r="K32" i="50"/>
  <c r="I32" i="50"/>
  <c r="H32" i="50"/>
  <c r="E32" i="50"/>
  <c r="D32" i="50"/>
  <c r="K31" i="50"/>
  <c r="I31" i="50"/>
  <c r="H31" i="50"/>
  <c r="D31" i="50"/>
  <c r="K30" i="50"/>
  <c r="I30" i="50"/>
  <c r="H30" i="50"/>
  <c r="D30" i="50"/>
  <c r="C30" i="50"/>
  <c r="K29" i="50"/>
  <c r="I29" i="50"/>
  <c r="H29" i="50"/>
  <c r="D29" i="50"/>
  <c r="C29" i="50"/>
  <c r="K28" i="50"/>
  <c r="I28" i="50"/>
  <c r="H28" i="50"/>
  <c r="D28" i="50"/>
  <c r="K27" i="50"/>
  <c r="I27" i="50"/>
  <c r="H27" i="50"/>
  <c r="D27" i="50"/>
  <c r="K26" i="50"/>
  <c r="I26" i="50"/>
  <c r="H26" i="50"/>
  <c r="D26" i="50"/>
  <c r="K25" i="50"/>
  <c r="I25" i="50"/>
  <c r="H25" i="50"/>
  <c r="D25" i="50"/>
  <c r="K24" i="50"/>
  <c r="I24" i="50"/>
  <c r="H24" i="50"/>
  <c r="D24" i="50"/>
  <c r="K23" i="50"/>
  <c r="I23" i="50"/>
  <c r="H23" i="50"/>
  <c r="D23" i="50"/>
  <c r="K22" i="50"/>
  <c r="I22" i="50"/>
  <c r="H22" i="50"/>
  <c r="E22" i="50"/>
  <c r="D22" i="50"/>
  <c r="K21" i="50"/>
  <c r="I21" i="50"/>
  <c r="H21" i="50"/>
  <c r="E21" i="50"/>
  <c r="D21" i="50"/>
  <c r="K20" i="50"/>
  <c r="I20" i="50"/>
  <c r="H20" i="50"/>
  <c r="E20" i="50"/>
  <c r="D20" i="50"/>
  <c r="K19" i="50"/>
  <c r="I19" i="50"/>
  <c r="H19" i="50"/>
  <c r="D19" i="50"/>
  <c r="H67" i="49"/>
  <c r="G67" i="49"/>
  <c r="F67" i="49"/>
  <c r="H66" i="49"/>
  <c r="F66" i="49"/>
  <c r="N58" i="49"/>
  <c r="J58" i="49"/>
  <c r="I58" i="49"/>
  <c r="H58" i="49"/>
  <c r="D58" i="49"/>
  <c r="J57" i="49"/>
  <c r="H57" i="49"/>
  <c r="G57" i="49"/>
  <c r="D57" i="49"/>
  <c r="J56" i="49"/>
  <c r="H56" i="49"/>
  <c r="G56" i="49"/>
  <c r="D56" i="49"/>
  <c r="J55" i="49"/>
  <c r="H55" i="49"/>
  <c r="G55" i="49"/>
  <c r="D55" i="49"/>
  <c r="J54" i="49"/>
  <c r="H54" i="49"/>
  <c r="G54" i="49"/>
  <c r="D54" i="49"/>
  <c r="J53" i="49"/>
  <c r="H53" i="49"/>
  <c r="G53" i="49"/>
  <c r="D53" i="49"/>
  <c r="J52" i="49"/>
  <c r="H52" i="49"/>
  <c r="G52" i="49"/>
  <c r="D52" i="49"/>
  <c r="J51" i="49"/>
  <c r="H51" i="49"/>
  <c r="G51" i="49"/>
  <c r="D51" i="49"/>
  <c r="J50" i="49"/>
  <c r="H50" i="49"/>
  <c r="G50" i="49"/>
  <c r="D50" i="49"/>
  <c r="J49" i="49"/>
  <c r="H49" i="49"/>
  <c r="G49" i="49"/>
  <c r="D49" i="49"/>
  <c r="J48" i="49"/>
  <c r="H48" i="49"/>
  <c r="G48" i="49"/>
  <c r="D48" i="49"/>
  <c r="J47" i="49"/>
  <c r="H47" i="49"/>
  <c r="G47" i="49"/>
  <c r="D47" i="49"/>
  <c r="J46" i="49"/>
  <c r="H46" i="49"/>
  <c r="G46" i="49"/>
  <c r="D46" i="49"/>
  <c r="J45" i="49"/>
  <c r="H45" i="49"/>
  <c r="G45" i="49"/>
  <c r="D45" i="49"/>
  <c r="J44" i="49"/>
  <c r="H44" i="49"/>
  <c r="G44" i="49"/>
  <c r="D44" i="49"/>
  <c r="J43" i="49"/>
  <c r="H43" i="49"/>
  <c r="G43" i="49"/>
  <c r="D43" i="49"/>
  <c r="J42" i="49"/>
  <c r="H42" i="49"/>
  <c r="G42" i="49"/>
  <c r="D42" i="49"/>
  <c r="J41" i="49"/>
  <c r="H41" i="49"/>
  <c r="G41" i="49"/>
  <c r="D41" i="49"/>
  <c r="J40" i="49"/>
  <c r="H40" i="49"/>
  <c r="G40" i="49"/>
  <c r="D40" i="49"/>
  <c r="J39" i="49"/>
  <c r="H39" i="49"/>
  <c r="G39" i="49"/>
  <c r="D39" i="49"/>
  <c r="J38" i="49"/>
  <c r="H38" i="49"/>
  <c r="G38" i="49"/>
  <c r="D38" i="49"/>
  <c r="J37" i="49"/>
  <c r="H37" i="49"/>
  <c r="G37" i="49"/>
  <c r="D37" i="49"/>
  <c r="J36" i="49"/>
  <c r="H36" i="49"/>
  <c r="G36" i="49"/>
  <c r="D36" i="49"/>
  <c r="J35" i="49"/>
  <c r="H35" i="49"/>
  <c r="G35" i="49"/>
  <c r="D35" i="49"/>
  <c r="J34" i="49"/>
  <c r="H34" i="49"/>
  <c r="G34" i="49"/>
  <c r="E34" i="49"/>
  <c r="D34" i="49"/>
  <c r="J33" i="49"/>
  <c r="H33" i="49"/>
  <c r="G33" i="49"/>
  <c r="D33" i="49"/>
  <c r="J32" i="49"/>
  <c r="H32" i="49"/>
  <c r="G32" i="49"/>
  <c r="D32" i="49"/>
  <c r="C32" i="49"/>
  <c r="J31" i="49"/>
  <c r="H31" i="49"/>
  <c r="G31" i="49"/>
  <c r="D31" i="49"/>
  <c r="C31" i="49"/>
  <c r="J30" i="49"/>
  <c r="H30" i="49"/>
  <c r="G30" i="49"/>
  <c r="D30" i="49"/>
  <c r="J29" i="49"/>
  <c r="H29" i="49"/>
  <c r="G29" i="49"/>
  <c r="D29" i="49"/>
  <c r="J28" i="49"/>
  <c r="H28" i="49"/>
  <c r="G28" i="49"/>
  <c r="D28" i="49"/>
  <c r="J27" i="49"/>
  <c r="H27" i="49"/>
  <c r="G27" i="49"/>
  <c r="D27" i="49"/>
  <c r="J26" i="49"/>
  <c r="H26" i="49"/>
  <c r="G26" i="49"/>
  <c r="D26" i="49"/>
  <c r="J25" i="49"/>
  <c r="H25" i="49"/>
  <c r="G25" i="49"/>
  <c r="E25" i="49"/>
  <c r="D25" i="49"/>
  <c r="J24" i="49"/>
  <c r="H24" i="49"/>
  <c r="G24" i="49"/>
  <c r="E24" i="49"/>
  <c r="D24" i="49"/>
  <c r="J23" i="49"/>
  <c r="H23" i="49"/>
  <c r="G23" i="49"/>
  <c r="E23" i="49"/>
  <c r="D23" i="49"/>
  <c r="J22" i="49"/>
  <c r="H22" i="49"/>
  <c r="G22" i="49"/>
  <c r="D22" i="49"/>
  <c r="J67" i="19"/>
  <c r="I67" i="19"/>
  <c r="K66" i="19"/>
  <c r="J66" i="19"/>
  <c r="I66" i="19"/>
  <c r="K47" i="19"/>
  <c r="J47" i="19"/>
  <c r="I47" i="19"/>
  <c r="K45" i="19"/>
  <c r="J45" i="19"/>
  <c r="I45" i="19"/>
  <c r="K44" i="19"/>
  <c r="J44" i="19"/>
  <c r="I44" i="19"/>
  <c r="K42" i="19"/>
  <c r="J42" i="19"/>
  <c r="I42" i="19"/>
  <c r="H42" i="19"/>
  <c r="G42" i="19"/>
  <c r="F42" i="19"/>
  <c r="E42" i="19"/>
  <c r="D42" i="19"/>
  <c r="C42" i="19"/>
  <c r="K36" i="19"/>
  <c r="J36" i="19"/>
  <c r="I36" i="19"/>
  <c r="K35" i="19"/>
  <c r="J35" i="19"/>
  <c r="E35" i="19"/>
  <c r="D35" i="19"/>
  <c r="K34" i="19"/>
  <c r="J34" i="19"/>
  <c r="I34" i="19"/>
  <c r="E34" i="19"/>
  <c r="D34" i="19"/>
  <c r="K33" i="19"/>
  <c r="J33" i="19"/>
  <c r="I33" i="19"/>
  <c r="E33" i="19"/>
  <c r="D33" i="19"/>
  <c r="K32" i="19"/>
  <c r="J32" i="19"/>
  <c r="I32" i="19"/>
  <c r="E32" i="19"/>
  <c r="D32" i="19"/>
  <c r="K31" i="19"/>
  <c r="J31" i="19"/>
  <c r="I31" i="19"/>
  <c r="E31" i="19"/>
  <c r="D31" i="19"/>
  <c r="K30" i="19"/>
  <c r="J30" i="19"/>
  <c r="I30" i="19"/>
  <c r="E30" i="19"/>
  <c r="D30" i="19"/>
  <c r="K29" i="19"/>
  <c r="J29" i="19"/>
  <c r="I29" i="19"/>
  <c r="E29" i="19"/>
  <c r="D29" i="19"/>
  <c r="K28" i="19"/>
  <c r="J28" i="19"/>
  <c r="I28" i="19"/>
  <c r="E28" i="19"/>
  <c r="D28" i="19"/>
  <c r="K26" i="19"/>
  <c r="J26" i="19"/>
  <c r="I26" i="19"/>
  <c r="H26" i="19"/>
  <c r="G26" i="19"/>
  <c r="F26" i="19"/>
  <c r="I13" i="19"/>
  <c r="G13" i="19"/>
  <c r="E13" i="19"/>
</calcChain>
</file>

<file path=xl/sharedStrings.xml><?xml version="1.0" encoding="utf-8"?>
<sst xmlns="http://schemas.openxmlformats.org/spreadsheetml/2006/main" count="1716" uniqueCount="366">
  <si>
    <t>в том числе:</t>
  </si>
  <si>
    <t>х</t>
  </si>
  <si>
    <t>Наименование показателя</t>
  </si>
  <si>
    <t>Итого</t>
  </si>
  <si>
    <t>Сумма, руб</t>
  </si>
  <si>
    <t>Задолженность по доходам (дебиторская задолженность по доходам) на начало года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</si>
  <si>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</si>
  <si>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Доходы от оказания услуг, выполнения работ, компенсация затрат учреждения</t>
  </si>
  <si>
    <t>субсидии на финансовое обеспечение выполнения муниципального задания за счет средств федерального бюджета (бюджета субъекта Российской Федерации, местного бюджета)</t>
  </si>
  <si>
    <t>доходы от оказания услуг, выполнения работ, в рамках установленного муниципального задания</t>
  </si>
  <si>
    <t>доходы от иной приносящей доход деятельности</t>
  </si>
  <si>
    <t>доходы, поступающие в порядке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</si>
  <si>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Задолженность по доходам (дебиторская задолженность по доходам) на конец года</t>
  </si>
  <si>
    <t>Полученные предварительные платежи (авансы) по контрактам (договорам) (кредиторская задолженность по доходам) на конец года</t>
  </si>
  <si>
    <t>3. Обоснование (расчет) плановых показателей поступлений доходов по статье аналитической группы подвида доходов бюджетов 130 "Доходы от оказания платных услуг, компенсаций затрат"</t>
  </si>
  <si>
    <t>Наименование услуги (работы)</t>
  </si>
  <si>
    <t>Плата (тариф) за единицу услуги (работы)</t>
  </si>
  <si>
    <t>Планируемый объем оказания услуг (выполнения работ)</t>
  </si>
  <si>
    <t>Общий объем планируемых поступлений</t>
  </si>
  <si>
    <t>3.1.  Детализированные расчеты поступлений от оказания платных услуг (работ), компенсации затрат учреждений</t>
  </si>
  <si>
    <t>3.2.  Детализированные расчеты поступлений от оказания платных услуг (работ), компенсации затрат учреждений</t>
  </si>
  <si>
    <t>3.2.1. Расчет плановых поступлений от иной приносящей доход деятельности</t>
  </si>
  <si>
    <t>Код строки</t>
  </si>
  <si>
    <t>Приложение № 2 к Порядку</t>
  </si>
  <si>
    <r>
      <t xml:space="preserve">3.1.1. Расчет плановых поступлений от оказания услуг (выполнения работ) </t>
    </r>
    <r>
      <rPr>
        <b/>
        <u/>
        <sz val="12"/>
        <color indexed="8"/>
        <rFont val="Times New Roman"/>
        <family val="1"/>
        <charset val="204"/>
      </rPr>
      <t>в рамках установленного муниципального задания</t>
    </r>
  </si>
  <si>
    <t>муниципального учреждения по поступлениям</t>
  </si>
  <si>
    <r>
      <t xml:space="preserve">на 20 </t>
    </r>
    <r>
      <rPr>
        <u/>
        <sz val="10"/>
        <color indexed="8"/>
        <rFont val="Times New Roman"/>
        <family val="1"/>
        <charset val="204"/>
      </rPr>
      <t xml:space="preserve"> 22 </t>
    </r>
    <r>
      <rPr>
        <sz val="10"/>
        <color indexed="8"/>
        <rFont val="Times New Roman"/>
        <family val="1"/>
        <charset val="204"/>
      </rPr>
      <t xml:space="preserve"> год</t>
    </r>
  </si>
  <si>
    <t>на 20 21 год</t>
  </si>
  <si>
    <t>на 20 22 год</t>
  </si>
  <si>
    <r>
      <t>на 20</t>
    </r>
    <r>
      <rPr>
        <u/>
        <sz val="12"/>
        <rFont val="Times New Roman"/>
        <family val="1"/>
        <charset val="204"/>
      </rPr>
      <t xml:space="preserve"> 21 </t>
    </r>
    <r>
      <rPr>
        <sz val="12"/>
        <rFont val="Times New Roman"/>
        <family val="1"/>
        <charset val="204"/>
      </rPr>
      <t>год и плановый период 20</t>
    </r>
    <r>
      <rPr>
        <u/>
        <sz val="12"/>
        <rFont val="Times New Roman"/>
        <family val="1"/>
        <charset val="204"/>
      </rPr>
      <t xml:space="preserve"> 22 </t>
    </r>
    <r>
      <rPr>
        <sz val="12"/>
        <rFont val="Times New Roman"/>
        <family val="1"/>
        <charset val="204"/>
      </rPr>
      <t xml:space="preserve"> и 20</t>
    </r>
    <r>
      <rPr>
        <u/>
        <sz val="12"/>
        <rFont val="Times New Roman"/>
        <family val="1"/>
        <charset val="204"/>
      </rPr>
      <t xml:space="preserve"> 23 </t>
    </r>
    <r>
      <rPr>
        <sz val="12"/>
        <rFont val="Times New Roman"/>
        <family val="1"/>
        <charset val="204"/>
      </rPr>
      <t>годов</t>
    </r>
  </si>
  <si>
    <r>
      <t>на 20</t>
    </r>
    <r>
      <rPr>
        <u/>
        <sz val="10"/>
        <color indexed="8"/>
        <rFont val="Times New Roman"/>
        <family val="1"/>
        <charset val="204"/>
      </rPr>
      <t xml:space="preserve"> 21 </t>
    </r>
    <r>
      <rPr>
        <sz val="10"/>
        <color indexed="8"/>
        <rFont val="Times New Roman"/>
        <family val="1"/>
        <charset val="204"/>
      </rPr>
      <t>год</t>
    </r>
  </si>
  <si>
    <r>
      <t xml:space="preserve">на 20 </t>
    </r>
    <r>
      <rPr>
        <u/>
        <sz val="10"/>
        <color indexed="8"/>
        <rFont val="Times New Roman"/>
        <family val="1"/>
        <charset val="204"/>
      </rPr>
      <t xml:space="preserve"> 23 </t>
    </r>
    <r>
      <rPr>
        <sz val="10"/>
        <color indexed="8"/>
        <rFont val="Times New Roman"/>
        <family val="1"/>
        <charset val="204"/>
      </rPr>
      <t xml:space="preserve"> год</t>
    </r>
  </si>
  <si>
    <t>на 20 23 год</t>
  </si>
  <si>
    <t>Расчеты (обоснования) к Плану финансово-хозяйственной деятельности</t>
  </si>
  <si>
    <t>курсы английского языка</t>
  </si>
  <si>
    <t>курсы по математике, информатике</t>
  </si>
  <si>
    <t>коммунальные возмещение</t>
  </si>
  <si>
    <t>Реализация дополнительных общеразвивающих программ</t>
  </si>
  <si>
    <t>Организация и проведение олимпиад, конкурсов, мероприятий</t>
  </si>
  <si>
    <t>Содержание имущества (ком.услуги)</t>
  </si>
  <si>
    <t>на 2021  год</t>
  </si>
  <si>
    <t>на 2022 год</t>
  </si>
  <si>
    <t>на 2023 год</t>
  </si>
  <si>
    <t>Организация и проведение праздничного мероприятия, посвященного Дню защиты детей</t>
  </si>
  <si>
    <t>Участие в мероприятии "День Победы"</t>
  </si>
  <si>
    <t>Организация и проведение мероприятия, посвященного Дню медицинского работника</t>
  </si>
  <si>
    <t>Спортивно-оздоровительные услуги</t>
  </si>
  <si>
    <t>Спонсорские средства</t>
  </si>
  <si>
    <t>Приложение 3</t>
  </si>
  <si>
    <t xml:space="preserve">к Порядку </t>
  </si>
  <si>
    <t>Расчеты (обоснования) к плану финансово-хозяйственной деятельности муниципального учреждения по выплатам на 20_20__ год</t>
  </si>
  <si>
    <t>Код и наименование фукциональной статьи расходов</t>
  </si>
  <si>
    <t>0703</t>
  </si>
  <si>
    <t>Дополнительное образование</t>
  </si>
  <si>
    <t>1. Расчеты (обоснования) выплат персоналу (строка 2100)</t>
  </si>
  <si>
    <t>1.1. Расчеты (обоснования) расходов на оплату труда (КВР 111)</t>
  </si>
  <si>
    <t>№ п/п</t>
  </si>
  <si>
    <t>Наименование должности</t>
  </si>
  <si>
    <t>Установленная численность, единиц</t>
  </si>
  <si>
    <t>Среднемесячный размер оплаты труда на одного работника, руб.</t>
  </si>
  <si>
    <t>Фонд оплаты труда в год, руб.</t>
  </si>
  <si>
    <t>в том числе по источникам финасового обеспечения</t>
  </si>
  <si>
    <t>всего</t>
  </si>
  <si>
    <t>по должностному окладу</t>
  </si>
  <si>
    <t>по выплатам компенсационного характера         (Указ президента)</t>
  </si>
  <si>
    <t>по выплатам стимулирующего характера</t>
  </si>
  <si>
    <t>субсидия на финансовое обеспечение выполнения муниципального задания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</si>
  <si>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</si>
  <si>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</si>
  <si>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областной бюджет</t>
  </si>
  <si>
    <t>местный бюджет</t>
  </si>
  <si>
    <t>код субсидии</t>
  </si>
  <si>
    <t>4=5+6+7</t>
  </si>
  <si>
    <t>8=4*3*12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</si>
  <si>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</si>
  <si>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</si>
  <si>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</si>
  <si>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ресурсному обеспечению</t>
  </si>
  <si>
    <t>Заведующий отделом</t>
  </si>
  <si>
    <t>Заведующий библиотекой</t>
  </si>
  <si>
    <t>Методист</t>
  </si>
  <si>
    <t>Педагог-организатор</t>
  </si>
  <si>
    <t xml:space="preserve">Педагог дополнительного образования </t>
  </si>
  <si>
    <t>Аккомпаниатор-концертмейстер</t>
  </si>
  <si>
    <t>Главный бухгалтер</t>
  </si>
  <si>
    <t>Бухгалтер</t>
  </si>
  <si>
    <t>Экономист</t>
  </si>
  <si>
    <t>Специалист по кадрам</t>
  </si>
  <si>
    <t>Инженер</t>
  </si>
  <si>
    <t>Режиссер</t>
  </si>
  <si>
    <t>Звукооператор</t>
  </si>
  <si>
    <t>Звукорежиссер</t>
  </si>
  <si>
    <t>Художник по свету</t>
  </si>
  <si>
    <t>Художник-оформитель</t>
  </si>
  <si>
    <t>Техник</t>
  </si>
  <si>
    <t>Делопроизводитель</t>
  </si>
  <si>
    <t>Машинист сцены</t>
  </si>
  <si>
    <t>Рабочий по комплексному обслуживанию и ремонту зданий</t>
  </si>
  <si>
    <t>Слесарь-ремонтник</t>
  </si>
  <si>
    <t>Слесарь-сантехник</t>
  </si>
  <si>
    <t>Костюмер</t>
  </si>
  <si>
    <t>Швея</t>
  </si>
  <si>
    <t>Рабочий по уходу за животными</t>
  </si>
  <si>
    <t>Гардеробщик</t>
  </si>
  <si>
    <t>Вахтер</t>
  </si>
  <si>
    <t>Уборщик служебных помещений</t>
  </si>
  <si>
    <t>Дворник</t>
  </si>
  <si>
    <t>Сторож</t>
  </si>
  <si>
    <t>Итого по КОСГУ 211: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</si>
  <si>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</si>
  <si>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Наименование расходов</t>
  </si>
  <si>
    <t>Количество работников, чел.</t>
  </si>
  <si>
    <t>Средний размер выплаты на одного работника, руб.</t>
  </si>
  <si>
    <t>Сумма, руб.</t>
  </si>
  <si>
    <t>5=3*4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</si>
  <si>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</si>
  <si>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Итого по КОСГУ 266:</t>
  </si>
  <si>
    <t>Расчеты (обоснования) к плану финансово-хозяйственной деятельности муниципального учреждения по выплатам на 20_21__ год</t>
  </si>
  <si>
    <t>Квалификационная категория</t>
  </si>
  <si>
    <t>Заведующий хозяйством</t>
  </si>
  <si>
    <t>1.3. Расчеты (обоснования) выплат персоналу при направлении в служебные командировки (КВР 112)</t>
  </si>
  <si>
    <t>Средний размер выплат на одного работника в день, руб.</t>
  </si>
  <si>
    <t>Количество дней</t>
  </si>
  <si>
    <t xml:space="preserve">Сумма, руб. </t>
  </si>
  <si>
    <t>6=3*4*5</t>
  </si>
  <si>
    <t>Суточные в командировке</t>
  </si>
  <si>
    <t>Итого по КОСГУ 212:</t>
  </si>
  <si>
    <t>Проезд в командировку</t>
  </si>
  <si>
    <t>Итого по КОСГУ 226:</t>
  </si>
  <si>
    <t>1.4. Расчеты (обоснования) выплат персоналу по уходу за ребенком (КВР 112)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</si>
  <si>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</si>
  <si>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</si>
  <si>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</si>
  <si>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Выходное пособие</t>
  </si>
  <si>
    <t>1.5. Расчеты (обоснования) выплат персоналу на прохождение медицинского осмотра (КВР 112)</t>
  </si>
  <si>
    <t>Медосмотр при приеме на работу</t>
  </si>
  <si>
    <t>Проживание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</si>
  <si>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</si>
  <si>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>Средний размер выплат на одного человека в день, руб.</t>
  </si>
  <si>
    <t>Количество человек</t>
  </si>
  <si>
    <t>Итого по КОСГУ 226 :</t>
  </si>
  <si>
    <t xml:space="preserve">1.7. Расчеты (обоснования) страховых взносов на обязательное страхование в Пенсионный фонд Российской Федерации, </t>
  </si>
  <si>
    <t>в Фонд социального страхования Российской Федерации, в Федеральный фонд обязательного медицинского страхования (КВР 119)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</si>
  <si>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</si>
  <si>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</si>
  <si>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 (9,5 мес.)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</si>
  <si>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</si>
  <si>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</si>
  <si>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</si>
  <si>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</si>
  <si>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</si>
  <si>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</si>
  <si>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</si>
  <si>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</si>
  <si>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</si>
  <si>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</si>
  <si>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</si>
  <si>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</si>
  <si>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</si>
  <si>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</si>
  <si>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</si>
  <si>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</si>
  <si>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</si>
  <si>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</si>
  <si>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</si>
  <si>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</si>
  <si>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rPr>
        <sz val="11"/>
        <rFont val="Times New Roman"/>
        <family val="1"/>
      </rPr>
      <t>на производстве и профессиональных заболеваний по ставке 0,_ %</t>
    </r>
    <r>
      <rPr>
        <vertAlign val="superscript"/>
        <sz val="11"/>
        <rFont val="Times New Roman"/>
        <family val="1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</si>
  <si>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</si>
  <si>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</si>
  <si>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</si>
  <si>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Итого по КОСГУ 213: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</si>
  <si>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</si>
  <si>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</si>
  <si>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</si>
  <si>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Средний размер одной выплаты, руб.</t>
  </si>
  <si>
    <t>Общая сумма выплат, руб.</t>
  </si>
  <si>
    <t>Итого по КОСГУ 264: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</si>
  <si>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</si>
  <si>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</si>
  <si>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Налоговая база, руб.</t>
  </si>
  <si>
    <t>Ставка налога, %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</si>
  <si>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</si>
  <si>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5=3*4/100</t>
  </si>
  <si>
    <t>Единый налог на УСН</t>
  </si>
  <si>
    <t>Итого по КОСГУ 291:</t>
  </si>
  <si>
    <t>Итого по КОСГУ 292:</t>
  </si>
  <si>
    <t>Итого по КОСГУ 293:</t>
  </si>
  <si>
    <t>Штраф Роспотребнадзора</t>
  </si>
  <si>
    <t>Итого по КОСГУ 295:</t>
  </si>
  <si>
    <t xml:space="preserve"> 4. Расчеты (обоснования) прочих выплат (кроме выплат на закупку товаров, работ, услуг) (строка 2400)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</si>
  <si>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</si>
  <si>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>Судебный акт, номер, дата</t>
  </si>
  <si>
    <t>Общая сумма возмещения, руб.</t>
  </si>
  <si>
    <t>Итого по КОСГУ 296:</t>
  </si>
  <si>
    <t>Итого по КОСГУ 297:</t>
  </si>
  <si>
    <t>4.2. Расчеты (обоснования) расходов на уплату иных платежей (КВР 853)</t>
  </si>
  <si>
    <t>Предписание, номер, дата</t>
  </si>
  <si>
    <t>Общая сумма , руб.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</si>
  <si>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</si>
  <si>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5.1. Расчеты (обоснования) расходов на оплату работ, услуг по содержанию имущества</t>
  </si>
  <si>
    <t xml:space="preserve">Цена работы (услуги), руб. </t>
  </si>
  <si>
    <t>Количество платежей в год</t>
  </si>
  <si>
    <t>Стоимость работ (услуг), руб.</t>
  </si>
  <si>
    <t>Капитальный ремонт здания</t>
  </si>
  <si>
    <t>Итого по КОСГУ 225:</t>
  </si>
  <si>
    <t xml:space="preserve">5.2. Расчеты (обоснования) расходов на оплату прочих работ, услуг 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</si>
  <si>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</si>
  <si>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</si>
  <si>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Количество номеров</t>
  </si>
  <si>
    <t>Стоимость за единицу, руб.</t>
  </si>
  <si>
    <t>МГ связь</t>
  </si>
  <si>
    <t>Предоставление абонентской линией</t>
  </si>
  <si>
    <t>Телематические услуги</t>
  </si>
  <si>
    <t xml:space="preserve">Услиги связи </t>
  </si>
  <si>
    <t>Итого по КОСГУ 221:</t>
  </si>
  <si>
    <t>6.2. Расчеты (обоснования) расходов на оплату транспортных услуг</t>
  </si>
  <si>
    <t>Количество услуг перевозки</t>
  </si>
  <si>
    <t>Цена услуги перевозки, руб.</t>
  </si>
  <si>
    <t>Транспортные услуги (заказ автобуса)</t>
  </si>
  <si>
    <t>Итого по КОСГУ 222:</t>
  </si>
  <si>
    <t>6.3. Расчеты (обоснования)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</si>
  <si>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</si>
  <si>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</si>
  <si>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</si>
  <si>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6=3*4*5/100</t>
  </si>
  <si>
    <t xml:space="preserve">ГВС, использованная при промывке системы отопления  </t>
  </si>
  <si>
    <t xml:space="preserve">20,963 м3,                   1 Гкал, </t>
  </si>
  <si>
    <t>50,12,     1385,78</t>
  </si>
  <si>
    <t xml:space="preserve">Водоснабжение 1 полугодие   </t>
  </si>
  <si>
    <t xml:space="preserve">Водоснабжение 2 полугодие   </t>
  </si>
  <si>
    <t xml:space="preserve">Водоотведение 1 погодие </t>
  </si>
  <si>
    <t xml:space="preserve">Водоотведение 2 погугодие </t>
  </si>
  <si>
    <t>Негативное воздействие на ЦСВ</t>
  </si>
  <si>
    <t>Услуги по обращению с твердыми коммунальными отходами (м3)</t>
  </si>
  <si>
    <t xml:space="preserve">Компонент на теплоноситель (Гкал) (6 мес)                                                 </t>
  </si>
  <si>
    <t xml:space="preserve">Компонент на теплоноситель (м3) (6 мес)                                                 </t>
  </si>
  <si>
    <t xml:space="preserve">Компонент на теплоноситель (Гкал) (5 мес)                                                 </t>
  </si>
  <si>
    <t xml:space="preserve">Компонент на теплоноситель (м3) (5 мес)                                                 </t>
  </si>
  <si>
    <t xml:space="preserve">Резерв на коммунальные расходы                      </t>
  </si>
  <si>
    <t>Итого по КОСГУ 223: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</si>
  <si>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</si>
  <si>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</si>
  <si>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</si>
  <si>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</si>
  <si>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Итого по КОСГУ 224 :</t>
  </si>
  <si>
    <t>6. Расчеты (обоснования) расходов на прочую закупку товаров, работ, услуг (КВР 247) (строка 2640)</t>
  </si>
  <si>
    <t xml:space="preserve">Теплоснабжение 1 полугодие (6 мес)                                                 </t>
  </si>
  <si>
    <t xml:space="preserve">Теплоснабжение 2 полугодие (5 мес)                                               </t>
  </si>
  <si>
    <t>Электроэнергия</t>
  </si>
  <si>
    <t>6.5. Расчеты (обоснования) расходов на оплату работ, услуг по содержанию имущества</t>
  </si>
  <si>
    <t>федеральный бюджет</t>
  </si>
  <si>
    <t xml:space="preserve">Обслуживание автоматической системы водяного пожаротушения 15806,00 </t>
  </si>
  <si>
    <t>Обслуживание АПС и СО о пожаре 12118,00</t>
  </si>
  <si>
    <t>Техническое обслуживание средств тревожной сигнализации (ТСО) 500,00</t>
  </si>
  <si>
    <t>Услуги по техническому мониторингу состояния системы АПС  3500,00</t>
  </si>
  <si>
    <t>Обслуживание теплового пункта 1566,75</t>
  </si>
  <si>
    <t xml:space="preserve">Тех обслуживание АИТП и узла учета тепловой энергии 6693,54*12  мес </t>
  </si>
  <si>
    <t>Дератизация 0,73* 6800м2*12</t>
  </si>
  <si>
    <t>Аккарицидная обработка 5491м2*0,73р</t>
  </si>
  <si>
    <t>Промывка, опрессовка системы  отопления (4час.*2447,98) и опрессовка (2*1617,21)</t>
  </si>
  <si>
    <t>Техническое обслуживание, ремонт печатной и копировально- множительной техники</t>
  </si>
  <si>
    <t xml:space="preserve">Заправка картриджей </t>
  </si>
  <si>
    <t>Техническое обслуживание системы видеонаблюдения 4880,00*12</t>
  </si>
  <si>
    <t>Техническое обслуживание системы дымоудаления  и огнезадерживающих клапанов</t>
  </si>
  <si>
    <t>Техническое обслуживание средств охранной сигнализации (ТСО)</t>
  </si>
  <si>
    <t>Работы по уборке снега механизированным способом</t>
  </si>
  <si>
    <t>Поверка приборов учета АИТП</t>
  </si>
  <si>
    <t>Предоставление канала связи для сигнала тревожной кнопки</t>
  </si>
  <si>
    <t>Перезарядка и проверка огнетушителей</t>
  </si>
  <si>
    <t>Испытание внутреннего противопожарного водопровода, пожарных кранов</t>
  </si>
  <si>
    <t xml:space="preserve">6.6. Расчеты (обоснования) расходов на оплату прочих работ, услуг </t>
  </si>
  <si>
    <t>Охрана объектов с помощью ТС 5593,63*12 мес</t>
  </si>
  <si>
    <t>Централизованная охрана ВО Росгвардии 5929,43*11 мес</t>
  </si>
  <si>
    <t>Обслуживание ПО 1С Бухгалтерия:"Бухг. Учёт", "Зарплата и кадры" с подпиской на диски ИТС 5990,00 * 12</t>
  </si>
  <si>
    <t>Обучение ответственного за тепловое хозяйство 1*3770=,  электрохозяйство 1*4770=, 3*3770=, охрана труда, делопроизводство</t>
  </si>
  <si>
    <t>Специальная оценка условий труда ( 149*1200,00)</t>
  </si>
  <si>
    <t>Медосмотр при приеме на работу (первичный)</t>
  </si>
  <si>
    <t>Психиатрическое освидетельствование 7*1900,00</t>
  </si>
  <si>
    <t>Медосмотр 92чел.*1750,00</t>
  </si>
  <si>
    <t>Санминимум 50 чел.* 496,08</t>
  </si>
  <si>
    <t>Абонентская плата за предоставления канала для сигнала тревожной кнопки</t>
  </si>
  <si>
    <t>Лицензия Adobe Cloud</t>
  </si>
  <si>
    <t>Антивирус Dr.Web</t>
  </si>
  <si>
    <t>Zyxel Подписка на сервис IDP/DPI сроком 1 год для USG110 и ZyWALL110 LIC-IDP-ZZ0028F — обнаружение/предотвращение вторжений и патруль приложений) сроком 1 год</t>
  </si>
  <si>
    <t>Перекатка пожарных рукавов</t>
  </si>
  <si>
    <t>Устройство бассейна для судомодельного спорта</t>
  </si>
  <si>
    <t>Монтаж и подключение оборудования для гончарной мастерской</t>
  </si>
  <si>
    <t>Установка на рабочем месте и настройка МФУ, настройка сетевого сканирования МФУ</t>
  </si>
  <si>
    <t>Сертификация тира и спортивного зала</t>
  </si>
  <si>
    <t>Организация и проведение мероприятий в рамках проведения фестиваля "Киришское кружево"</t>
  </si>
  <si>
    <t>6.7. Расчеты (обоснования) расходов на страхование</t>
  </si>
  <si>
    <t>Итого по КОСГУ 227:</t>
  </si>
  <si>
    <t xml:space="preserve">6.8. Расчеты (обоснования) расходов на приобретение основных средств </t>
  </si>
  <si>
    <t>Средняя стоимость, рубб</t>
  </si>
  <si>
    <t>Приобретение электросчетчиков</t>
  </si>
  <si>
    <t>Приобретение Облучателей-рециркуляторов</t>
  </si>
  <si>
    <t>Приобретение оборудования, инвентаря и мебели для студии звукозаписи</t>
  </si>
  <si>
    <t>Приобретение оборудования для гончарной мастерской</t>
  </si>
  <si>
    <t>Приобретение циркуляционного насоса</t>
  </si>
  <si>
    <t>Приобретение циркуляционного насоса для АИТП</t>
  </si>
  <si>
    <t>Приобретение оборудования и инвентаря в рамках реализации национального проекта "Успех каждого ребенка"</t>
  </si>
  <si>
    <t>Специализированная мебель для кабинета авиамоделирования</t>
  </si>
  <si>
    <t>Мишенные установки в тир</t>
  </si>
  <si>
    <t>Итого по КОСГУ 310:</t>
  </si>
  <si>
    <t xml:space="preserve">6.9. Расчеты (обоснования) расходов на приобретение материальных запасов </t>
  </si>
  <si>
    <t>Средняя стоимость, руб.</t>
  </si>
  <si>
    <t>Итого по КОСГУ 341 :</t>
  </si>
  <si>
    <t>Итого по КОСГУ 342 :</t>
  </si>
  <si>
    <t>Дизельное топливо</t>
  </si>
  <si>
    <t>Итого по КОСГУ 343 :</t>
  </si>
  <si>
    <t>Приобретение строительных товаров</t>
  </si>
  <si>
    <t>Итого по КОСГУ 344 :</t>
  </si>
  <si>
    <t>Итого по КОСГУ 345 :</t>
  </si>
  <si>
    <t>Хозяйственные товары 7745,82+4%=8055,65+31944,35=40000,00 из них 1677.57 руб. по КВФО 2 - общехоз. Расходы</t>
  </si>
  <si>
    <t>Электротовары</t>
  </si>
  <si>
    <t>Канцелярские товары</t>
  </si>
  <si>
    <t>Корм для животных живого уголка</t>
  </si>
  <si>
    <t>Планы эвакуации</t>
  </si>
  <si>
    <t>Таблички с символикой нацпроекта</t>
  </si>
  <si>
    <t>Журнал для учета работы педагога дополнительного образования</t>
  </si>
  <si>
    <t xml:space="preserve">материальные запасы на развитие технических видов спорта (судомоделирование)  </t>
  </si>
  <si>
    <t>963321083</t>
  </si>
  <si>
    <t>Канцелярские товары в рамках проведения фестиваля "Киришское кружево"</t>
  </si>
  <si>
    <t>963221008</t>
  </si>
  <si>
    <t>963321008</t>
  </si>
  <si>
    <t>Итого по КОСГУ 346 :</t>
  </si>
  <si>
    <t>Х</t>
  </si>
  <si>
    <t>Призы (дипломы, рамки, книги и т.п.) в рамках проведения фестиваля "Киришское кружево"</t>
  </si>
  <si>
    <t>Призы (дипломы, рамки, книги и т.п.) в рамках проведения фестиваля "Киришское подворье"</t>
  </si>
  <si>
    <t>963321020</t>
  </si>
  <si>
    <t>Призы (дипломы, рамки, книги и т.п.) конкурс творческих работ "Юный моделист"</t>
  </si>
  <si>
    <t>963321021</t>
  </si>
  <si>
    <t>Призы (дипломы, рамки, книги и т.п.) конкурс  "От идеи до воплощения"</t>
  </si>
  <si>
    <t>963321022</t>
  </si>
  <si>
    <t>Призы (дипломы, рамки, книги и т.п.) конкурс  "Знатоки природы"</t>
  </si>
  <si>
    <t>963321024</t>
  </si>
  <si>
    <t>Призы (дипломы, рамки, книги и т.п.) конкурс  "Отечество"</t>
  </si>
  <si>
    <t>963321025</t>
  </si>
  <si>
    <t>Сувениры  к проведению районного слета друзей "Я, ТЫ, ОН, ОНА - ВМЕСТЕ ЦЕЛАЯ СТРАНА"</t>
  </si>
  <si>
    <t>963321026</t>
  </si>
  <si>
    <t>Сувениры  к проведению  турслета "Этой дружбе нет преград"</t>
  </si>
  <si>
    <t>963321027</t>
  </si>
  <si>
    <t>Сувениры и призы  Программа для дневных лагерей "Хоровод друзей"</t>
  </si>
  <si>
    <t>963321028</t>
  </si>
  <si>
    <t>Сувениры.   Программа для дневных лагерей "Районная школа организаторского мастерства"</t>
  </si>
  <si>
    <t>963321029</t>
  </si>
  <si>
    <t xml:space="preserve">Сувениры.   Конференция, посвященная международному дню Охраны биоразнообразия </t>
  </si>
  <si>
    <t>963321030</t>
  </si>
  <si>
    <t>Призы (дипломы, рамки, книги и т.п.) Конкурс лидеров ученического самоуправления</t>
  </si>
  <si>
    <t>963321023</t>
  </si>
  <si>
    <t>Сувениры.   Программа "Лето - 2021"</t>
  </si>
  <si>
    <t>963321031</t>
  </si>
  <si>
    <t>выпускные свидетельства</t>
  </si>
  <si>
    <t>Итого по КОСГУ 349 :</t>
  </si>
  <si>
    <t>7. Расчеты (обоснования) расходов на капитальные вложения в объекты муниципальной собственности (КВР 406, 407) (строка 2650)</t>
  </si>
  <si>
    <t>7.1. Расчеты (обоснования) расходов на оплату работ, услуг для целей капитальных вложений</t>
  </si>
  <si>
    <t>Итого по КОСГУ 228:</t>
  </si>
  <si>
    <t>7.2. Расчеты (обоснования) расходов на приобретение объектов недвижимого имущества, строительство,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</t>
  </si>
  <si>
    <t>7.3. Расчеты (обоснования) расходов на приобретение материальных запасов для целей капитальных вложений</t>
  </si>
  <si>
    <t>Итого по КОСГУ 347 :</t>
  </si>
  <si>
    <t>0707 - Молодежная политика</t>
  </si>
  <si>
    <t>Подсобный рабочий</t>
  </si>
  <si>
    <t>963321097</t>
  </si>
  <si>
    <r>
      <rPr>
        <sz val="10"/>
        <rFont val="Times New Roman"/>
        <family val="1"/>
        <charset val="204"/>
      </rP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</si>
  <si>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Итого по КОСГУ 310</t>
  </si>
  <si>
    <t>Приобретение хозяйственных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</si>
</sst>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_-* #,##0\ _₽_-;\-* #,##0\ _₽_-;_-* &quot;-&quot;??\ _₽_-;_-@_-"/>
    <numFmt numFmtId="167" formatCode="0.0000"/>
  </numFmts>
  <fonts count="29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9.5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10"/>
      <color rgb="FFFF0000"/>
      <name val="Times New Roman"/>
      <family val="1"/>
    </font>
    <font>
      <sz val="11"/>
      <name val="Arial Cyr"/>
    </font>
    <font>
      <sz val="10"/>
      <color rgb="FF4F81BD"/>
      <name val="Times New Roman"/>
      <family val="1"/>
    </font>
    <font>
      <sz val="11"/>
      <color rgb="FF4F81BD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1">
    <xf numFmtId="0" fontId="0" fillId="0" borderId="0" xfId="0"/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/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wrapText="1"/>
    </xf>
    <xf numFmtId="4" fontId="4" fillId="3" borderId="3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9" fillId="3" borderId="1" xfId="0" applyFont="1" applyFill="1" applyBorder="1" applyAlignment="1">
      <alignment horizontal="justify" wrapText="1"/>
    </xf>
    <xf numFmtId="0" fontId="9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/>
    <xf numFmtId="0" fontId="8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18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/>
    </xf>
    <xf numFmtId="4" fontId="20" fillId="2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4" fontId="22" fillId="2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right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2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165" fontId="16" fillId="0" borderId="1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65" fontId="17" fillId="0" borderId="1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2" fontId="20" fillId="0" borderId="1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3" fontId="20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165" fontId="20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2" fontId="17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" fontId="2" fillId="2" borderId="3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right"/>
    </xf>
    <xf numFmtId="165" fontId="17" fillId="0" borderId="10" xfId="0" applyNumberFormat="1" applyFont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165" fontId="17" fillId="0" borderId="12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20" xfId="0" applyFont="1" applyBorder="1" applyAlignment="1">
      <alignment horizontal="left" indent="1"/>
    </xf>
    <xf numFmtId="0" fontId="17" fillId="0" borderId="9" xfId="0" applyFont="1" applyBorder="1" applyAlignment="1">
      <alignment horizontal="left" indent="1"/>
    </xf>
    <xf numFmtId="0" fontId="17" fillId="0" borderId="21" xfId="0" applyFont="1" applyBorder="1" applyAlignment="1">
      <alignment horizontal="left" indent="1"/>
    </xf>
    <xf numFmtId="0" fontId="17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indent="1"/>
    </xf>
    <xf numFmtId="0" fontId="17" fillId="0" borderId="14" xfId="0" applyFont="1" applyBorder="1" applyAlignment="1">
      <alignment horizontal="left" indent="1"/>
    </xf>
    <xf numFmtId="0" fontId="17" fillId="0" borderId="15" xfId="0" applyFont="1" applyBorder="1" applyAlignment="1">
      <alignment horizontal="left" indent="1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7" fillId="0" borderId="17" xfId="0" applyFont="1" applyBorder="1" applyAlignment="1">
      <alignment horizontal="left" indent="1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2" xfId="0" applyFont="1" applyBorder="1" applyAlignment="1">
      <alignment horizontal="left" indent="1"/>
    </xf>
    <xf numFmtId="2" fontId="21" fillId="0" borderId="11" xfId="0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2" fontId="17" fillId="0" borderId="13" xfId="0" applyNumberFormat="1" applyFont="1" applyBorder="1" applyAlignment="1">
      <alignment horizontal="right"/>
    </xf>
    <xf numFmtId="2" fontId="17" fillId="0" borderId="14" xfId="0" applyNumberFormat="1" applyFont="1" applyBorder="1" applyAlignment="1">
      <alignment horizontal="right"/>
    </xf>
    <xf numFmtId="2" fontId="17" fillId="0" borderId="15" xfId="0" applyNumberFormat="1" applyFont="1" applyBorder="1" applyAlignment="1">
      <alignment horizontal="right"/>
    </xf>
    <xf numFmtId="2" fontId="17" fillId="0" borderId="16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17" fillId="0" borderId="17" xfId="0" applyNumberFormat="1" applyFont="1" applyBorder="1" applyAlignment="1">
      <alignment horizontal="right"/>
    </xf>
    <xf numFmtId="2" fontId="17" fillId="0" borderId="20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2" fontId="17" fillId="0" borderId="2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43" fontId="4" fillId="0" borderId="1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A66" sqref="A66"/>
    </sheetView>
  </sheetViews>
  <sheetFormatPr defaultColWidth="9.109375" defaultRowHeight="13.2" x14ac:dyDescent="0.25"/>
  <cols>
    <col min="1" max="1" width="31.33203125" style="15" customWidth="1"/>
    <col min="2" max="2" width="8.5546875" style="15" customWidth="1"/>
    <col min="3" max="3" width="11.6640625" style="15" customWidth="1"/>
    <col min="4" max="4" width="11.33203125" style="15" customWidth="1"/>
    <col min="5" max="5" width="12.33203125" style="15" customWidth="1"/>
    <col min="6" max="7" width="10.6640625" style="15" customWidth="1"/>
    <col min="8" max="8" width="7.88671875" style="15" customWidth="1"/>
    <col min="9" max="9" width="15.88671875" style="15" customWidth="1"/>
    <col min="10" max="11" width="13" style="15" customWidth="1"/>
    <col min="12" max="12" width="9.109375" style="15"/>
    <col min="13" max="14" width="11.44140625" style="15" customWidth="1"/>
    <col min="15" max="16384" width="9.109375" style="15"/>
  </cols>
  <sheetData>
    <row r="1" spans="1:10" ht="15.6" x14ac:dyDescent="0.3">
      <c r="J1" s="18" t="s">
        <v>23</v>
      </c>
    </row>
    <row r="2" spans="1:10" ht="15.6" x14ac:dyDescent="0.3">
      <c r="E2" s="18"/>
    </row>
    <row r="3" spans="1:10" ht="15.6" x14ac:dyDescent="0.3">
      <c r="A3" s="219" t="s">
        <v>33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5.6" x14ac:dyDescent="0.3">
      <c r="A4" s="219" t="s">
        <v>25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.6" x14ac:dyDescent="0.3">
      <c r="A5" s="219" t="s">
        <v>29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39.75" customHeight="1" x14ac:dyDescent="0.3">
      <c r="A6" s="220" t="s">
        <v>14</v>
      </c>
      <c r="B6" s="220"/>
      <c r="C6" s="220"/>
      <c r="D6" s="220"/>
      <c r="E6" s="220"/>
      <c r="F6" s="220"/>
      <c r="G6" s="220"/>
      <c r="H6" s="220"/>
      <c r="I6" s="220"/>
      <c r="J6" s="220"/>
    </row>
    <row r="8" spans="1:10" ht="24.75" customHeight="1" x14ac:dyDescent="0.25">
      <c r="A8" s="9" t="s">
        <v>2</v>
      </c>
      <c r="B8" s="9"/>
      <c r="C8" s="9"/>
      <c r="D8" s="14" t="s">
        <v>22</v>
      </c>
      <c r="E8" s="6" t="s">
        <v>4</v>
      </c>
      <c r="F8" s="222"/>
      <c r="G8" s="222"/>
      <c r="H8" s="222"/>
      <c r="I8" s="222"/>
      <c r="J8" s="5"/>
    </row>
    <row r="9" spans="1:10" ht="12.75" customHeight="1" x14ac:dyDescent="0.25">
      <c r="A9" s="9"/>
      <c r="B9" s="9"/>
      <c r="C9" s="9"/>
      <c r="D9" s="13"/>
      <c r="E9" s="9" t="s">
        <v>30</v>
      </c>
      <c r="F9" s="9"/>
      <c r="G9" s="6" t="s">
        <v>26</v>
      </c>
      <c r="H9" s="5"/>
      <c r="I9" s="6" t="s">
        <v>31</v>
      </c>
      <c r="J9" s="5"/>
    </row>
    <row r="10" spans="1:10" x14ac:dyDescent="0.25">
      <c r="A10" s="221">
        <v>1</v>
      </c>
      <c r="B10" s="221"/>
      <c r="C10" s="221"/>
      <c r="D10" s="30">
        <v>2</v>
      </c>
      <c r="E10" s="12">
        <v>3</v>
      </c>
      <c r="F10" s="12"/>
      <c r="G10" s="4">
        <v>4</v>
      </c>
      <c r="H10" s="3"/>
      <c r="I10" s="8">
        <v>5</v>
      </c>
      <c r="J10" s="7"/>
    </row>
    <row r="11" spans="1:10" ht="25.5" customHeight="1" x14ac:dyDescent="0.25">
      <c r="A11" s="217" t="s">
        <v>5</v>
      </c>
      <c r="B11" s="217"/>
      <c r="C11" s="217"/>
      <c r="D11" s="30">
        <v>100</v>
      </c>
      <c r="E11" s="12"/>
      <c r="F11" s="12"/>
      <c r="G11" s="12"/>
      <c r="H11" s="12"/>
      <c r="I11" s="12"/>
      <c r="J11" s="12"/>
    </row>
    <row r="12" spans="1:10" ht="38.25" customHeight="1" x14ac:dyDescent="0.25">
      <c r="A12" s="217" t="s">
        <v>6</v>
      </c>
      <c r="B12" s="217"/>
      <c r="C12" s="217"/>
      <c r="D12" s="30">
        <v>200</v>
      </c>
      <c r="E12" s="12"/>
      <c r="F12" s="12"/>
      <c r="G12" s="12"/>
      <c r="H12" s="12"/>
      <c r="I12" s="12"/>
      <c r="J12" s="12"/>
    </row>
    <row r="13" spans="1:10" ht="25.5" customHeight="1" x14ac:dyDescent="0.25">
      <c r="A13" s="217" t="s">
        <v>7</v>
      </c>
      <c r="B13" s="217"/>
      <c r="C13" s="217"/>
      <c r="D13" s="27">
        <v>300</v>
      </c>
      <c r="E13" s="11">
        <f>SUM(E15:F18)</f>
        <v>62322671</v>
      </c>
      <c r="F13" s="10"/>
      <c r="G13" s="11">
        <f t="shared" ref="G13" si="0">SUM(G15:H18)</f>
        <v>58662409</v>
      </c>
      <c r="H13" s="10"/>
      <c r="I13" s="11">
        <f t="shared" ref="I13" si="1">SUM(I15:J18)</f>
        <v>61838614</v>
      </c>
      <c r="J13" s="10"/>
    </row>
    <row r="14" spans="1:10" x14ac:dyDescent="0.25">
      <c r="A14" s="217" t="s">
        <v>0</v>
      </c>
      <c r="B14" s="217"/>
      <c r="C14" s="217"/>
      <c r="D14" s="221">
        <v>310</v>
      </c>
      <c r="E14" s="12"/>
      <c r="F14" s="12"/>
      <c r="G14" s="12"/>
      <c r="H14" s="12"/>
      <c r="I14" s="12"/>
      <c r="J14" s="12"/>
    </row>
    <row r="15" spans="1:10" ht="51" customHeight="1" x14ac:dyDescent="0.25">
      <c r="A15" s="217" t="s">
        <v>8</v>
      </c>
      <c r="B15" s="217"/>
      <c r="C15" s="217"/>
      <c r="D15" s="221"/>
      <c r="E15" s="215">
        <v>61999071</v>
      </c>
      <c r="F15" s="216"/>
      <c r="G15" s="215">
        <v>58662409</v>
      </c>
      <c r="H15" s="216"/>
      <c r="I15" s="215">
        <v>61838614</v>
      </c>
      <c r="J15" s="216"/>
    </row>
    <row r="16" spans="1:10" ht="25.5" customHeight="1" x14ac:dyDescent="0.25">
      <c r="A16" s="217" t="s">
        <v>9</v>
      </c>
      <c r="B16" s="217"/>
      <c r="C16" s="217"/>
      <c r="D16" s="30">
        <v>320</v>
      </c>
      <c r="E16" s="1"/>
      <c r="F16" s="1"/>
      <c r="G16" s="1"/>
      <c r="H16" s="1"/>
      <c r="I16" s="1"/>
      <c r="J16" s="1"/>
    </row>
    <row r="17" spans="1:11" x14ac:dyDescent="0.25">
      <c r="A17" s="217" t="s">
        <v>10</v>
      </c>
      <c r="B17" s="217"/>
      <c r="C17" s="217"/>
      <c r="D17" s="30">
        <v>330</v>
      </c>
      <c r="E17" s="2">
        <v>323600</v>
      </c>
      <c r="F17" s="2"/>
      <c r="G17" s="2"/>
      <c r="H17" s="2"/>
      <c r="I17" s="2"/>
      <c r="J17" s="2"/>
    </row>
    <row r="18" spans="1:11" ht="51" customHeight="1" x14ac:dyDescent="0.25">
      <c r="A18" s="217" t="s">
        <v>11</v>
      </c>
      <c r="B18" s="217"/>
      <c r="C18" s="217"/>
      <c r="D18" s="30">
        <v>340</v>
      </c>
      <c r="E18" s="218"/>
      <c r="F18" s="218"/>
      <c r="G18" s="218"/>
      <c r="H18" s="218"/>
      <c r="I18" s="218"/>
      <c r="J18" s="218"/>
    </row>
    <row r="19" spans="1:11" ht="25.5" customHeight="1" x14ac:dyDescent="0.25">
      <c r="A19" s="217" t="s">
        <v>12</v>
      </c>
      <c r="B19" s="217"/>
      <c r="C19" s="217"/>
      <c r="D19" s="30">
        <v>400</v>
      </c>
      <c r="E19" s="12"/>
      <c r="F19" s="12"/>
      <c r="G19" s="12"/>
      <c r="H19" s="12"/>
      <c r="I19" s="12"/>
      <c r="J19" s="12"/>
    </row>
    <row r="20" spans="1:11" ht="38.25" customHeight="1" x14ac:dyDescent="0.25">
      <c r="A20" s="217" t="s">
        <v>13</v>
      </c>
      <c r="B20" s="217"/>
      <c r="C20" s="217"/>
      <c r="D20" s="30">
        <v>500</v>
      </c>
      <c r="E20" s="12"/>
      <c r="F20" s="12"/>
      <c r="G20" s="12"/>
      <c r="H20" s="12"/>
      <c r="I20" s="12"/>
      <c r="J20" s="12"/>
    </row>
    <row r="23" spans="1:11" x14ac:dyDescent="0.25">
      <c r="A23" s="15" t="s">
        <v>19</v>
      </c>
    </row>
    <row r="24" spans="1:11" ht="15.6" x14ac:dyDescent="0.3">
      <c r="A24" s="19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27" customHeight="1" x14ac:dyDescent="0.25">
      <c r="A25" s="9" t="s">
        <v>15</v>
      </c>
      <c r="B25" s="14" t="s">
        <v>22</v>
      </c>
      <c r="C25" s="9" t="s">
        <v>16</v>
      </c>
      <c r="D25" s="9"/>
      <c r="E25" s="9"/>
      <c r="F25" s="9" t="s">
        <v>17</v>
      </c>
      <c r="G25" s="9"/>
      <c r="H25" s="9"/>
      <c r="I25" s="9" t="s">
        <v>18</v>
      </c>
      <c r="J25" s="9"/>
      <c r="K25" s="9"/>
    </row>
    <row r="26" spans="1:11" ht="26.4" x14ac:dyDescent="0.25">
      <c r="A26" s="9"/>
      <c r="B26" s="13"/>
      <c r="C26" s="39" t="s">
        <v>27</v>
      </c>
      <c r="D26" s="39" t="s">
        <v>28</v>
      </c>
      <c r="E26" s="39" t="s">
        <v>32</v>
      </c>
      <c r="F26" s="20" t="str">
        <f>C26</f>
        <v>на 20 21 год</v>
      </c>
      <c r="G26" s="39" t="str">
        <f>D26</f>
        <v>на 20 22 год</v>
      </c>
      <c r="H26" s="39" t="str">
        <f>E26</f>
        <v>на 20 23 год</v>
      </c>
      <c r="I26" s="20" t="str">
        <f>C26</f>
        <v>на 20 21 год</v>
      </c>
      <c r="J26" s="39" t="str">
        <f>D26</f>
        <v>на 20 22 год</v>
      </c>
      <c r="K26" s="39" t="str">
        <f>E26</f>
        <v>на 20 23 год</v>
      </c>
    </row>
    <row r="27" spans="1:11" x14ac:dyDescent="0.25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</row>
    <row r="28" spans="1:11" ht="26.4" x14ac:dyDescent="0.25">
      <c r="A28" s="47" t="s">
        <v>37</v>
      </c>
      <c r="B28" s="44">
        <v>1</v>
      </c>
      <c r="C28" s="41">
        <v>148.52000000000001</v>
      </c>
      <c r="D28" s="41">
        <f>SUM(C28*94.61%)</f>
        <v>140.51477199999999</v>
      </c>
      <c r="E28" s="41">
        <f>D28*105.41%</f>
        <v>148.1166211652</v>
      </c>
      <c r="F28" s="41">
        <v>46728</v>
      </c>
      <c r="G28" s="41">
        <v>46728</v>
      </c>
      <c r="H28" s="41">
        <v>46728</v>
      </c>
      <c r="I28" s="42">
        <f>SUM(C28*F28)</f>
        <v>6940042.5600000005</v>
      </c>
      <c r="J28" s="42">
        <f>SUM(D28*G28)</f>
        <v>6565974.266016</v>
      </c>
      <c r="K28" s="42">
        <f>SUM(E28*H28)</f>
        <v>6921193.4738074653</v>
      </c>
    </row>
    <row r="29" spans="1:11" ht="26.4" x14ac:dyDescent="0.25">
      <c r="A29" s="48" t="s">
        <v>37</v>
      </c>
      <c r="B29" s="44">
        <v>2</v>
      </c>
      <c r="C29" s="41">
        <v>148.44</v>
      </c>
      <c r="D29" s="41">
        <f t="shared" ref="D29:D34" si="2">SUM(C29*94.61%)</f>
        <v>140.43908399999998</v>
      </c>
      <c r="E29" s="41">
        <f t="shared" ref="E29:E34" si="3">D29*105.41%</f>
        <v>148.03683844439999</v>
      </c>
      <c r="F29" s="41">
        <v>62321</v>
      </c>
      <c r="G29" s="41">
        <v>62321</v>
      </c>
      <c r="H29" s="41">
        <v>62321</v>
      </c>
      <c r="I29" s="42">
        <f t="shared" ref="I29:I33" si="4">SUM(C29*F29)</f>
        <v>9250929.2400000002</v>
      </c>
      <c r="J29" s="42">
        <f t="shared" ref="J29:J33" si="5">SUM(D29*G29)</f>
        <v>8752304.153963998</v>
      </c>
      <c r="K29" s="42">
        <f t="shared" ref="K29:K33" si="6">SUM(E29*H29)</f>
        <v>9225803.8086934518</v>
      </c>
    </row>
    <row r="30" spans="1:11" ht="26.4" x14ac:dyDescent="0.25">
      <c r="A30" s="48" t="s">
        <v>37</v>
      </c>
      <c r="B30" s="44">
        <v>3</v>
      </c>
      <c r="C30" s="41">
        <v>70.64</v>
      </c>
      <c r="D30" s="41">
        <f t="shared" si="2"/>
        <v>66.832504</v>
      </c>
      <c r="E30" s="41">
        <f t="shared" si="3"/>
        <v>70.4481424664</v>
      </c>
      <c r="F30" s="41">
        <v>17449</v>
      </c>
      <c r="G30" s="41">
        <v>17449</v>
      </c>
      <c r="H30" s="41">
        <v>17449</v>
      </c>
      <c r="I30" s="42">
        <f t="shared" si="4"/>
        <v>1232597.3600000001</v>
      </c>
      <c r="J30" s="42">
        <f t="shared" si="5"/>
        <v>1166160.3622959999</v>
      </c>
      <c r="K30" s="42">
        <f t="shared" si="6"/>
        <v>1229249.6378962137</v>
      </c>
    </row>
    <row r="31" spans="1:11" ht="26.4" x14ac:dyDescent="0.25">
      <c r="A31" s="48" t="s">
        <v>37</v>
      </c>
      <c r="B31" s="44">
        <v>4</v>
      </c>
      <c r="C31" s="41">
        <v>156.33000000000001</v>
      </c>
      <c r="D31" s="41">
        <f t="shared" si="2"/>
        <v>147.90381300000001</v>
      </c>
      <c r="E31" s="41">
        <f t="shared" si="3"/>
        <v>155.90540928330003</v>
      </c>
      <c r="F31" s="41">
        <v>236587</v>
      </c>
      <c r="G31" s="41">
        <v>236587</v>
      </c>
      <c r="H31" s="41">
        <v>236587</v>
      </c>
      <c r="I31" s="42">
        <f t="shared" si="4"/>
        <v>36985645.710000001</v>
      </c>
      <c r="J31" s="42">
        <f t="shared" si="5"/>
        <v>34992119.406231001</v>
      </c>
      <c r="K31" s="42">
        <f t="shared" si="6"/>
        <v>36885193.066108108</v>
      </c>
    </row>
    <row r="32" spans="1:11" ht="26.4" x14ac:dyDescent="0.25">
      <c r="A32" s="48" t="s">
        <v>37</v>
      </c>
      <c r="B32" s="44">
        <v>5</v>
      </c>
      <c r="C32" s="41">
        <v>148.01</v>
      </c>
      <c r="D32" s="41">
        <f t="shared" si="2"/>
        <v>140.03226099999998</v>
      </c>
      <c r="E32" s="41">
        <f t="shared" si="3"/>
        <v>147.60800632009997</v>
      </c>
      <c r="F32" s="41">
        <v>3400</v>
      </c>
      <c r="G32" s="41">
        <v>3400</v>
      </c>
      <c r="H32" s="41">
        <v>3400</v>
      </c>
      <c r="I32" s="42">
        <f t="shared" si="4"/>
        <v>503233.99999999994</v>
      </c>
      <c r="J32" s="42">
        <f t="shared" si="5"/>
        <v>476109.68739999994</v>
      </c>
      <c r="K32" s="42">
        <f t="shared" si="6"/>
        <v>501867.22148833988</v>
      </c>
    </row>
    <row r="33" spans="1:11" ht="26.4" x14ac:dyDescent="0.25">
      <c r="A33" s="48" t="s">
        <v>37</v>
      </c>
      <c r="B33" s="44">
        <v>6</v>
      </c>
      <c r="C33" s="41">
        <v>148.76</v>
      </c>
      <c r="D33" s="41">
        <f t="shared" si="2"/>
        <v>140.74183599999998</v>
      </c>
      <c r="E33" s="41">
        <f t="shared" si="3"/>
        <v>148.35596932759998</v>
      </c>
      <c r="F33" s="41">
        <v>27584</v>
      </c>
      <c r="G33" s="41">
        <v>27584</v>
      </c>
      <c r="H33" s="41">
        <v>27584</v>
      </c>
      <c r="I33" s="42">
        <f t="shared" si="4"/>
        <v>4103395.84</v>
      </c>
      <c r="J33" s="42">
        <f t="shared" si="5"/>
        <v>3882222.8042239994</v>
      </c>
      <c r="K33" s="42">
        <f t="shared" si="6"/>
        <v>4092251.057932518</v>
      </c>
    </row>
    <row r="34" spans="1:11" ht="26.4" x14ac:dyDescent="0.25">
      <c r="A34" s="48" t="s">
        <v>38</v>
      </c>
      <c r="B34" s="44">
        <v>7</v>
      </c>
      <c r="C34" s="41">
        <v>459826.29</v>
      </c>
      <c r="D34" s="41">
        <f t="shared" si="2"/>
        <v>435041.65296899993</v>
      </c>
      <c r="E34" s="41">
        <f t="shared" si="3"/>
        <v>458577.40639462287</v>
      </c>
      <c r="F34" s="41">
        <v>3000</v>
      </c>
      <c r="G34" s="41">
        <v>3000</v>
      </c>
      <c r="H34" s="41">
        <v>3000</v>
      </c>
      <c r="I34" s="42">
        <f>SUM(C34)</f>
        <v>459826.29</v>
      </c>
      <c r="J34" s="42">
        <f>SUM(D34)</f>
        <v>435041.65296899993</v>
      </c>
      <c r="K34" s="42">
        <f>SUM(E34)</f>
        <v>458577.40639462287</v>
      </c>
    </row>
    <row r="35" spans="1:11" x14ac:dyDescent="0.25">
      <c r="A35" s="47" t="s">
        <v>39</v>
      </c>
      <c r="B35" s="44">
        <v>8</v>
      </c>
      <c r="C35" s="16"/>
      <c r="D35" s="45">
        <f t="shared" ref="D35" si="7">SUM(C35*105.93%)</f>
        <v>0</v>
      </c>
      <c r="E35" s="45">
        <f t="shared" ref="E35" si="8">SUM(D35*100.56%)</f>
        <v>0</v>
      </c>
      <c r="F35" s="40"/>
      <c r="G35" s="40"/>
      <c r="H35" s="40"/>
      <c r="I35" s="42">
        <v>2523400</v>
      </c>
      <c r="J35" s="42">
        <f>SUM(I35*94.61%)+5087.93</f>
        <v>2392476.67</v>
      </c>
      <c r="K35" s="42">
        <f>SUM(J35*105.41%)+2568.67</f>
        <v>2524478.3278469997</v>
      </c>
    </row>
    <row r="36" spans="1:11" x14ac:dyDescent="0.25">
      <c r="A36" s="23" t="s">
        <v>3</v>
      </c>
      <c r="B36" s="24">
        <v>9000</v>
      </c>
      <c r="C36" s="24" t="s">
        <v>1</v>
      </c>
      <c r="D36" s="24" t="s">
        <v>1</v>
      </c>
      <c r="E36" s="24" t="s">
        <v>1</v>
      </c>
      <c r="F36" s="24" t="s">
        <v>1</v>
      </c>
      <c r="G36" s="24" t="s">
        <v>1</v>
      </c>
      <c r="H36" s="24" t="s">
        <v>1</v>
      </c>
      <c r="I36" s="43">
        <f>SUM(I28:I35)</f>
        <v>61999071.000000007</v>
      </c>
      <c r="J36" s="43">
        <f t="shared" ref="J36:K36" si="9">SUM(J28:J35)</f>
        <v>58662409.0031</v>
      </c>
      <c r="K36" s="43">
        <f t="shared" si="9"/>
        <v>61838614.00016772</v>
      </c>
    </row>
    <row r="37" spans="1:11" x14ac:dyDescent="0.25">
      <c r="A37" s="35"/>
      <c r="B37" s="36"/>
      <c r="C37" s="36"/>
      <c r="D37" s="36"/>
      <c r="E37" s="36"/>
      <c r="F37" s="36"/>
      <c r="G37" s="36"/>
      <c r="H37" s="36"/>
      <c r="I37" s="37"/>
      <c r="J37" s="37"/>
      <c r="K37" s="37"/>
    </row>
    <row r="38" spans="1:11" hidden="1" x14ac:dyDescent="0.25">
      <c r="A38" s="35"/>
      <c r="B38" s="36"/>
      <c r="C38" s="36"/>
      <c r="D38" s="36"/>
      <c r="E38" s="36"/>
      <c r="F38" s="36"/>
      <c r="G38" s="36"/>
      <c r="H38" s="36"/>
      <c r="I38" s="37"/>
      <c r="J38" s="37"/>
      <c r="K38" s="37"/>
    </row>
    <row r="39" spans="1:11" hidden="1" x14ac:dyDescent="0.25">
      <c r="A39" s="15" t="s">
        <v>20</v>
      </c>
      <c r="J39" s="38"/>
    </row>
    <row r="40" spans="1:11" ht="15.6" hidden="1" x14ac:dyDescent="0.3">
      <c r="A40" s="17" t="s">
        <v>21</v>
      </c>
    </row>
    <row r="41" spans="1:11" ht="27" hidden="1" customHeight="1" x14ac:dyDescent="0.25">
      <c r="A41" s="9" t="s">
        <v>15</v>
      </c>
      <c r="B41" s="14" t="s">
        <v>22</v>
      </c>
      <c r="C41" s="9" t="s">
        <v>16</v>
      </c>
      <c r="D41" s="9"/>
      <c r="E41" s="9"/>
      <c r="F41" s="9" t="s">
        <v>17</v>
      </c>
      <c r="G41" s="9"/>
      <c r="H41" s="9"/>
      <c r="I41" s="9" t="s">
        <v>18</v>
      </c>
      <c r="J41" s="9"/>
      <c r="K41" s="9"/>
    </row>
    <row r="42" spans="1:11" ht="26.4" hidden="1" x14ac:dyDescent="0.25">
      <c r="A42" s="9"/>
      <c r="B42" s="13"/>
      <c r="C42" s="20" t="str">
        <f>C26</f>
        <v>на 20 21 год</v>
      </c>
      <c r="D42" s="39" t="str">
        <f t="shared" ref="D42:K42" si="10">D26</f>
        <v>на 20 22 год</v>
      </c>
      <c r="E42" s="39" t="str">
        <f t="shared" si="10"/>
        <v>на 20 23 год</v>
      </c>
      <c r="F42" s="39" t="str">
        <f t="shared" si="10"/>
        <v>на 20 21 год</v>
      </c>
      <c r="G42" s="39" t="str">
        <f t="shared" si="10"/>
        <v>на 20 22 год</v>
      </c>
      <c r="H42" s="39" t="str">
        <f t="shared" si="10"/>
        <v>на 20 23 год</v>
      </c>
      <c r="I42" s="39" t="str">
        <f t="shared" si="10"/>
        <v>на 20 21 год</v>
      </c>
      <c r="J42" s="39" t="str">
        <f t="shared" si="10"/>
        <v>на 20 22 год</v>
      </c>
      <c r="K42" s="39" t="str">
        <f t="shared" si="10"/>
        <v>на 20 23 год</v>
      </c>
    </row>
    <row r="43" spans="1:11" hidden="1" x14ac:dyDescent="0.25">
      <c r="A43" s="21">
        <v>1</v>
      </c>
      <c r="B43" s="21">
        <v>2</v>
      </c>
      <c r="C43" s="21">
        <v>3</v>
      </c>
      <c r="D43" s="21">
        <v>4</v>
      </c>
      <c r="E43" s="21">
        <v>5</v>
      </c>
      <c r="F43" s="21">
        <v>6</v>
      </c>
      <c r="G43" s="21">
        <v>7</v>
      </c>
      <c r="H43" s="21">
        <v>8</v>
      </c>
      <c r="I43" s="21">
        <v>9</v>
      </c>
      <c r="J43" s="21">
        <v>10</v>
      </c>
      <c r="K43" s="21">
        <v>11</v>
      </c>
    </row>
    <row r="44" spans="1:11" ht="12.75" hidden="1" customHeight="1" x14ac:dyDescent="0.25">
      <c r="A44" s="34" t="s">
        <v>34</v>
      </c>
      <c r="B44" s="26">
        <v>1</v>
      </c>
      <c r="C44" s="28">
        <v>1200</v>
      </c>
      <c r="D44" s="28">
        <v>1200</v>
      </c>
      <c r="E44" s="28">
        <v>1200</v>
      </c>
      <c r="F44" s="31">
        <v>7</v>
      </c>
      <c r="G44" s="31">
        <v>7</v>
      </c>
      <c r="H44" s="31">
        <v>7</v>
      </c>
      <c r="I44" s="32">
        <f>SUM(C44*F44)*7</f>
        <v>58800</v>
      </c>
      <c r="J44" s="32">
        <f t="shared" ref="J44:K45" si="11">SUM(D44*G44)*7</f>
        <v>58800</v>
      </c>
      <c r="K44" s="32">
        <f t="shared" si="11"/>
        <v>58800</v>
      </c>
    </row>
    <row r="45" spans="1:11" ht="12.75" hidden="1" customHeight="1" x14ac:dyDescent="0.25">
      <c r="A45" s="34" t="s">
        <v>35</v>
      </c>
      <c r="B45" s="26">
        <v>2</v>
      </c>
      <c r="C45" s="28">
        <v>1600</v>
      </c>
      <c r="D45" s="28">
        <v>1600</v>
      </c>
      <c r="E45" s="28">
        <v>1600</v>
      </c>
      <c r="F45" s="31">
        <v>14</v>
      </c>
      <c r="G45" s="31">
        <v>14</v>
      </c>
      <c r="H45" s="31">
        <v>14</v>
      </c>
      <c r="I45" s="32">
        <f>SUM(C45*F45)*7</f>
        <v>156800</v>
      </c>
      <c r="J45" s="32">
        <f t="shared" si="11"/>
        <v>156800</v>
      </c>
      <c r="K45" s="32">
        <f t="shared" si="11"/>
        <v>156800</v>
      </c>
    </row>
    <row r="46" spans="1:11" ht="12.75" hidden="1" customHeight="1" x14ac:dyDescent="0.25">
      <c r="A46" s="34" t="s">
        <v>36</v>
      </c>
      <c r="B46" s="33">
        <v>3</v>
      </c>
      <c r="C46" s="28"/>
      <c r="D46" s="29"/>
      <c r="E46" s="29"/>
      <c r="F46" s="31"/>
      <c r="G46" s="31"/>
      <c r="H46" s="31"/>
      <c r="I46" s="46">
        <v>559497.68000000005</v>
      </c>
      <c r="J46" s="46">
        <v>559497.68000000005</v>
      </c>
      <c r="K46" s="46">
        <v>559497.68000000005</v>
      </c>
    </row>
    <row r="47" spans="1:11" hidden="1" x14ac:dyDescent="0.25">
      <c r="A47" s="23" t="s">
        <v>3</v>
      </c>
      <c r="B47" s="24">
        <v>9000</v>
      </c>
      <c r="C47" s="24" t="s">
        <v>1</v>
      </c>
      <c r="D47" s="24" t="s">
        <v>1</v>
      </c>
      <c r="E47" s="24" t="s">
        <v>1</v>
      </c>
      <c r="F47" s="24" t="s">
        <v>1</v>
      </c>
      <c r="G47" s="24" t="s">
        <v>1</v>
      </c>
      <c r="H47" s="24" t="s">
        <v>1</v>
      </c>
      <c r="I47" s="25">
        <f>SUM(I44:I46)</f>
        <v>775097.68</v>
      </c>
      <c r="J47" s="25">
        <f>SUM(J44:J46)</f>
        <v>775097.68</v>
      </c>
      <c r="K47" s="25">
        <f>SUM(K44:K46)</f>
        <v>775097.68</v>
      </c>
    </row>
    <row r="48" spans="1:11" hidden="1" x14ac:dyDescent="0.25"/>
    <row r="49" spans="1:11" hidden="1" x14ac:dyDescent="0.25"/>
    <row r="50" spans="1:11" hidden="1" x14ac:dyDescent="0.25"/>
    <row r="51" spans="1:11" hidden="1" x14ac:dyDescent="0.25"/>
    <row r="52" spans="1:11" hidden="1" x14ac:dyDescent="0.25"/>
    <row r="54" spans="1:11" s="49" customFormat="1" ht="14.4" x14ac:dyDescent="0.3">
      <c r="A54" s="223" t="s">
        <v>20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</row>
    <row r="55" spans="1:11" s="49" customFormat="1" ht="14.4" x14ac:dyDescent="0.3">
      <c r="A55" s="223" t="s">
        <v>21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1:11" s="49" customFormat="1" ht="14.4" x14ac:dyDescent="0.3">
      <c r="C56" s="50"/>
      <c r="D56" s="50"/>
      <c r="E56" s="50"/>
      <c r="F56" s="50"/>
      <c r="G56" s="50"/>
      <c r="H56" s="50"/>
      <c r="I56" s="50"/>
      <c r="J56" s="50"/>
      <c r="K56" s="50"/>
    </row>
    <row r="57" spans="1:11" s="49" customFormat="1" ht="14.4" x14ac:dyDescent="0.3">
      <c r="A57" s="224" t="s">
        <v>15</v>
      </c>
      <c r="B57" s="225" t="s">
        <v>22</v>
      </c>
      <c r="C57" s="224" t="s">
        <v>16</v>
      </c>
      <c r="D57" s="224"/>
      <c r="E57" s="224"/>
      <c r="F57" s="224" t="s">
        <v>17</v>
      </c>
      <c r="G57" s="224"/>
      <c r="H57" s="224"/>
      <c r="I57" s="224" t="s">
        <v>18</v>
      </c>
      <c r="J57" s="224"/>
      <c r="K57" s="224"/>
    </row>
    <row r="58" spans="1:11" s="49" customFormat="1" ht="14.4" x14ac:dyDescent="0.3">
      <c r="A58" s="224"/>
      <c r="B58" s="226"/>
      <c r="C58" s="224"/>
      <c r="D58" s="224"/>
      <c r="E58" s="224"/>
      <c r="F58" s="224"/>
      <c r="G58" s="224"/>
      <c r="H58" s="224"/>
      <c r="I58" s="224"/>
      <c r="J58" s="224"/>
      <c r="K58" s="224"/>
    </row>
    <row r="59" spans="1:11" s="49" customFormat="1" ht="26.4" x14ac:dyDescent="0.3">
      <c r="A59" s="224"/>
      <c r="B59" s="227"/>
      <c r="C59" s="51" t="s">
        <v>40</v>
      </c>
      <c r="D59" s="51" t="s">
        <v>41</v>
      </c>
      <c r="E59" s="51" t="s">
        <v>42</v>
      </c>
      <c r="F59" s="51" t="s">
        <v>40</v>
      </c>
      <c r="G59" s="51" t="s">
        <v>41</v>
      </c>
      <c r="H59" s="51" t="s">
        <v>42</v>
      </c>
      <c r="I59" s="51" t="s">
        <v>40</v>
      </c>
      <c r="J59" s="51" t="s">
        <v>41</v>
      </c>
      <c r="K59" s="51" t="s">
        <v>42</v>
      </c>
    </row>
    <row r="60" spans="1:11" s="50" customFormat="1" ht="14.4" x14ac:dyDescent="0.3">
      <c r="A60" s="51">
        <v>1</v>
      </c>
      <c r="B60" s="51">
        <v>2</v>
      </c>
      <c r="C60" s="51">
        <v>3</v>
      </c>
      <c r="D60" s="51">
        <v>4</v>
      </c>
      <c r="E60" s="51">
        <v>5</v>
      </c>
      <c r="F60" s="51">
        <v>6</v>
      </c>
      <c r="G60" s="51">
        <v>7</v>
      </c>
      <c r="H60" s="51">
        <v>8</v>
      </c>
      <c r="I60" s="51">
        <v>9</v>
      </c>
      <c r="J60" s="51">
        <v>10</v>
      </c>
      <c r="K60" s="51">
        <v>11</v>
      </c>
    </row>
    <row r="61" spans="1:11" s="49" customFormat="1" ht="39.6" x14ac:dyDescent="0.3">
      <c r="A61" s="52" t="s">
        <v>43</v>
      </c>
      <c r="B61" s="51">
        <v>1</v>
      </c>
      <c r="C61" s="53" t="s">
        <v>1</v>
      </c>
      <c r="D61" s="53" t="s">
        <v>1</v>
      </c>
      <c r="E61" s="53" t="s">
        <v>1</v>
      </c>
      <c r="F61" s="53" t="s">
        <v>1</v>
      </c>
      <c r="G61" s="53" t="s">
        <v>1</v>
      </c>
      <c r="H61" s="53" t="s">
        <v>1</v>
      </c>
      <c r="I61" s="53">
        <v>70000</v>
      </c>
      <c r="J61" s="53">
        <v>0</v>
      </c>
      <c r="K61" s="53">
        <v>0</v>
      </c>
    </row>
    <row r="62" spans="1:11" s="49" customFormat="1" ht="26.4" x14ac:dyDescent="0.3">
      <c r="A62" s="52" t="s">
        <v>44</v>
      </c>
      <c r="B62" s="51">
        <v>1</v>
      </c>
      <c r="C62" s="53" t="s">
        <v>1</v>
      </c>
      <c r="D62" s="53" t="s">
        <v>1</v>
      </c>
      <c r="E62" s="53" t="s">
        <v>1</v>
      </c>
      <c r="F62" s="53" t="s">
        <v>1</v>
      </c>
      <c r="G62" s="53" t="s">
        <v>1</v>
      </c>
      <c r="H62" s="53" t="s">
        <v>1</v>
      </c>
      <c r="I62" s="53">
        <v>5100</v>
      </c>
      <c r="J62" s="53">
        <v>0</v>
      </c>
      <c r="K62" s="53">
        <v>0</v>
      </c>
    </row>
    <row r="63" spans="1:11" s="49" customFormat="1" ht="39.6" x14ac:dyDescent="0.3">
      <c r="A63" s="52" t="s">
        <v>45</v>
      </c>
      <c r="B63" s="51">
        <v>1</v>
      </c>
      <c r="C63" s="53" t="s">
        <v>1</v>
      </c>
      <c r="D63" s="53" t="s">
        <v>1</v>
      </c>
      <c r="E63" s="53" t="s">
        <v>1</v>
      </c>
      <c r="F63" s="53" t="s">
        <v>1</v>
      </c>
      <c r="G63" s="53" t="s">
        <v>1</v>
      </c>
      <c r="H63" s="53" t="s">
        <v>1</v>
      </c>
      <c r="I63" s="53">
        <v>8000</v>
      </c>
      <c r="J63" s="53">
        <v>0</v>
      </c>
      <c r="K63" s="53">
        <v>0</v>
      </c>
    </row>
    <row r="64" spans="1:11" s="49" customFormat="1" ht="14.4" x14ac:dyDescent="0.3">
      <c r="A64" s="52" t="s">
        <v>46</v>
      </c>
      <c r="B64" s="51">
        <v>1</v>
      </c>
      <c r="C64" s="53" t="s">
        <v>1</v>
      </c>
      <c r="D64" s="53" t="s">
        <v>1</v>
      </c>
      <c r="E64" s="53" t="s">
        <v>1</v>
      </c>
      <c r="F64" s="53" t="s">
        <v>1</v>
      </c>
      <c r="G64" s="53" t="s">
        <v>1</v>
      </c>
      <c r="H64" s="53" t="s">
        <v>1</v>
      </c>
      <c r="I64" s="53">
        <v>210500</v>
      </c>
      <c r="J64" s="53">
        <v>0</v>
      </c>
      <c r="K64" s="53">
        <v>0</v>
      </c>
    </row>
    <row r="65" spans="1:11" s="49" customFormat="1" ht="14.4" x14ac:dyDescent="0.3">
      <c r="A65" s="52" t="s">
        <v>47</v>
      </c>
      <c r="B65" s="51">
        <v>1</v>
      </c>
      <c r="C65" s="53" t="s">
        <v>1</v>
      </c>
      <c r="D65" s="53" t="s">
        <v>1</v>
      </c>
      <c r="E65" s="53" t="s">
        <v>1</v>
      </c>
      <c r="F65" s="53" t="s">
        <v>1</v>
      </c>
      <c r="G65" s="53" t="s">
        <v>1</v>
      </c>
      <c r="H65" s="53" t="s">
        <v>1</v>
      </c>
      <c r="I65" s="53">
        <v>30000</v>
      </c>
      <c r="J65" s="53">
        <v>0</v>
      </c>
      <c r="K65" s="53">
        <v>0</v>
      </c>
    </row>
    <row r="66" spans="1:11" s="56" customFormat="1" ht="14.4" x14ac:dyDescent="0.3">
      <c r="A66" s="54"/>
      <c r="B66" s="54"/>
      <c r="C66" s="55"/>
      <c r="D66" s="55"/>
      <c r="E66" s="55"/>
      <c r="F66" s="55"/>
      <c r="G66" s="55"/>
      <c r="H66" s="55"/>
      <c r="I66" s="55">
        <f>SUM(I61:I65)</f>
        <v>323600</v>
      </c>
      <c r="J66" s="55">
        <f t="shared" ref="J66:K66" si="12">SUM(J61:J64)</f>
        <v>0</v>
      </c>
      <c r="K66" s="55">
        <f t="shared" si="12"/>
        <v>0</v>
      </c>
    </row>
    <row r="67" spans="1:11" s="59" customFormat="1" ht="14.4" x14ac:dyDescent="0.3">
      <c r="A67" s="57" t="s">
        <v>3</v>
      </c>
      <c r="B67" s="58">
        <v>9000</v>
      </c>
      <c r="C67" s="55" t="s">
        <v>1</v>
      </c>
      <c r="D67" s="55" t="s">
        <v>1</v>
      </c>
      <c r="E67" s="55" t="s">
        <v>1</v>
      </c>
      <c r="F67" s="55" t="s">
        <v>1</v>
      </c>
      <c r="G67" s="55" t="s">
        <v>1</v>
      </c>
      <c r="H67" s="55" t="s">
        <v>1</v>
      </c>
      <c r="I67" s="55">
        <f>I66</f>
        <v>323600</v>
      </c>
      <c r="J67" s="55">
        <f>SUM(J61:J66)</f>
        <v>0</v>
      </c>
      <c r="K67" s="55">
        <f>SUM(K61:K66)</f>
        <v>0</v>
      </c>
    </row>
  </sheetData>
  <mergeCells count="72">
    <mergeCell ref="A54:K54"/>
    <mergeCell ref="A55:K55"/>
    <mergeCell ref="A57:A59"/>
    <mergeCell ref="B57:B59"/>
    <mergeCell ref="C57:E58"/>
    <mergeCell ref="F57:H58"/>
    <mergeCell ref="I57:K58"/>
    <mergeCell ref="A3:J3"/>
    <mergeCell ref="A4:J4"/>
    <mergeCell ref="A5:J5"/>
    <mergeCell ref="A6:J6"/>
    <mergeCell ref="D14:D15"/>
    <mergeCell ref="A14:C14"/>
    <mergeCell ref="A8:C9"/>
    <mergeCell ref="A10:C10"/>
    <mergeCell ref="A11:C11"/>
    <mergeCell ref="A12:C12"/>
    <mergeCell ref="A13:C13"/>
    <mergeCell ref="G13:H13"/>
    <mergeCell ref="G14:H14"/>
    <mergeCell ref="G15:H15"/>
    <mergeCell ref="E8:J8"/>
    <mergeCell ref="I9:J9"/>
    <mergeCell ref="A20:C20"/>
    <mergeCell ref="A16:C16"/>
    <mergeCell ref="A17:C17"/>
    <mergeCell ref="A18:C18"/>
    <mergeCell ref="A19:C19"/>
    <mergeCell ref="A15:C15"/>
    <mergeCell ref="I15:J15"/>
    <mergeCell ref="I16:J16"/>
    <mergeCell ref="I18:J18"/>
    <mergeCell ref="I19:J19"/>
    <mergeCell ref="E19:F19"/>
    <mergeCell ref="G18:H18"/>
    <mergeCell ref="E18:F18"/>
    <mergeCell ref="G20:H20"/>
    <mergeCell ref="G19:H19"/>
    <mergeCell ref="I14:J14"/>
    <mergeCell ref="I17:J17"/>
    <mergeCell ref="E16:F16"/>
    <mergeCell ref="E20:F20"/>
    <mergeCell ref="I20:J20"/>
    <mergeCell ref="E17:F17"/>
    <mergeCell ref="E15:F15"/>
    <mergeCell ref="G17:H17"/>
    <mergeCell ref="G16:H16"/>
    <mergeCell ref="I10:J10"/>
    <mergeCell ref="I11:J11"/>
    <mergeCell ref="I12:J12"/>
    <mergeCell ref="I13:J13"/>
    <mergeCell ref="E9:F9"/>
    <mergeCell ref="G11:H11"/>
    <mergeCell ref="G9:H9"/>
    <mergeCell ref="G10:H10"/>
    <mergeCell ref="G12:H12"/>
    <mergeCell ref="I41:K41"/>
    <mergeCell ref="A25:A26"/>
    <mergeCell ref="C25:E25"/>
    <mergeCell ref="F25:H25"/>
    <mergeCell ref="I25:K25"/>
    <mergeCell ref="B25:B26"/>
    <mergeCell ref="B41:B42"/>
    <mergeCell ref="A41:A42"/>
    <mergeCell ref="C41:E41"/>
    <mergeCell ref="F41:H41"/>
    <mergeCell ref="D8:D9"/>
    <mergeCell ref="E11:F11"/>
    <mergeCell ref="E12:F12"/>
    <mergeCell ref="E13:F13"/>
    <mergeCell ref="E14:F14"/>
    <mergeCell ref="E10:F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2" manualBreakCount="2">
    <brk id="22" max="16383" man="1"/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H39"/>
  <sheetViews>
    <sheetView workbookViewId="0">
      <selection activeCell="BD28" sqref="BD28"/>
    </sheetView>
  </sheetViews>
  <sheetFormatPr defaultColWidth="1.109375" defaultRowHeight="13.2" x14ac:dyDescent="0.25"/>
  <cols>
    <col min="1" max="1" width="2.109375" style="71" bestFit="1" customWidth="1"/>
    <col min="2" max="80" width="1.109375" style="71"/>
    <col min="81" max="83" width="9.44140625" style="71" customWidth="1"/>
    <col min="84" max="84" width="9.109375" style="71" customWidth="1"/>
    <col min="85" max="85" width="8.44140625" style="71" customWidth="1"/>
    <col min="86" max="86" width="15.109375" style="71" customWidth="1"/>
    <col min="87" max="16384" width="1.109375" style="71"/>
  </cols>
  <sheetData>
    <row r="1" spans="1:86" ht="15.6" x14ac:dyDescent="0.3">
      <c r="A1" s="65" t="s">
        <v>354</v>
      </c>
    </row>
    <row r="3" spans="1:86" s="65" customFormat="1" ht="15.6" x14ac:dyDescent="0.3">
      <c r="A3" s="70" t="s">
        <v>355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4" spans="1:86" s="67" customFormat="1" ht="7.8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6" ht="12.75" customHeight="1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5" t="s">
        <v>202</v>
      </c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7"/>
      <c r="CC5" s="427"/>
      <c r="CD5" s="427"/>
      <c r="CE5" s="427"/>
      <c r="CF5" s="427"/>
      <c r="CG5" s="427"/>
      <c r="CH5" s="427"/>
    </row>
    <row r="6" spans="1:86" ht="83.2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8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70"/>
      <c r="CC6" s="369"/>
      <c r="CD6" s="369"/>
      <c r="CE6" s="369"/>
      <c r="CF6" s="369"/>
      <c r="CG6" s="369"/>
      <c r="CH6" s="369"/>
    </row>
    <row r="7" spans="1:86" ht="12.75" customHeight="1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8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70"/>
      <c r="CC7" s="426"/>
      <c r="CD7" s="426"/>
      <c r="CE7" s="426"/>
      <c r="CF7" s="426"/>
      <c r="CG7" s="426"/>
      <c r="CH7" s="369"/>
    </row>
    <row r="8" spans="1:86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71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3"/>
      <c r="CC8" s="426"/>
      <c r="CD8" s="426"/>
      <c r="CE8" s="426"/>
      <c r="CF8" s="426"/>
      <c r="CG8" s="426"/>
      <c r="CH8" s="369"/>
    </row>
    <row r="9" spans="1:86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2">
        <v>3</v>
      </c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4"/>
      <c r="CC9" s="139"/>
      <c r="CD9" s="139"/>
      <c r="CE9" s="139"/>
      <c r="CF9" s="139"/>
      <c r="CG9" s="139"/>
      <c r="CH9" s="139"/>
    </row>
    <row r="10" spans="1:86" x14ac:dyDescent="0.25">
      <c r="A10" s="354"/>
      <c r="B10" s="354"/>
      <c r="C10" s="354"/>
      <c r="D10" s="354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4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235"/>
      <c r="CC10" s="137"/>
      <c r="CD10" s="137"/>
      <c r="CE10" s="137"/>
      <c r="CF10" s="137"/>
      <c r="CG10" s="137"/>
      <c r="CH10" s="137"/>
    </row>
    <row r="11" spans="1:86" x14ac:dyDescent="0.25">
      <c r="A11" s="354"/>
      <c r="B11" s="354"/>
      <c r="C11" s="354"/>
      <c r="D11" s="35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4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235"/>
      <c r="CC11" s="137"/>
      <c r="CD11" s="137"/>
      <c r="CE11" s="137"/>
      <c r="CF11" s="137"/>
      <c r="CG11" s="137"/>
      <c r="CH11" s="137"/>
    </row>
    <row r="12" spans="1:86" x14ac:dyDescent="0.25">
      <c r="A12" s="228" t="s">
        <v>356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30"/>
      <c r="AO12" s="234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235"/>
      <c r="CC12" s="137"/>
      <c r="CD12" s="137"/>
      <c r="CE12" s="137"/>
      <c r="CF12" s="137"/>
      <c r="CG12" s="137"/>
      <c r="CH12" s="137"/>
    </row>
    <row r="13" spans="1:86" s="90" customFormat="1" ht="15.6" x14ac:dyDescent="0.3"/>
    <row r="14" spans="1:86" s="90" customFormat="1" ht="46.95" customHeight="1" x14ac:dyDescent="0.3">
      <c r="A14" s="245" t="s">
        <v>357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</row>
    <row r="15" spans="1:86" s="90" customFormat="1" ht="15.6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7"/>
      <c r="CD15" s="67"/>
      <c r="CE15" s="67"/>
      <c r="CF15" s="67"/>
      <c r="CG15" s="67"/>
      <c r="CH15" s="67"/>
    </row>
    <row r="16" spans="1:86" s="90" customFormat="1" ht="15.6" x14ac:dyDescent="0.3">
      <c r="A16" s="232" t="s">
        <v>56</v>
      </c>
      <c r="B16" s="232"/>
      <c r="C16" s="232"/>
      <c r="D16" s="232"/>
      <c r="E16" s="361" t="s">
        <v>110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5" t="s">
        <v>241</v>
      </c>
      <c r="AT16" s="366"/>
      <c r="AU16" s="366"/>
      <c r="AV16" s="366"/>
      <c r="AW16" s="366"/>
      <c r="AX16" s="366"/>
      <c r="AY16" s="366"/>
      <c r="AZ16" s="366"/>
      <c r="BA16" s="366"/>
      <c r="BB16" s="367"/>
      <c r="BC16" s="232" t="s">
        <v>202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365" t="s">
        <v>113</v>
      </c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7"/>
      <c r="CC16" s="427"/>
      <c r="CD16" s="427"/>
      <c r="CE16" s="427"/>
      <c r="CF16" s="427"/>
      <c r="CG16" s="427"/>
      <c r="CH16" s="427"/>
    </row>
    <row r="17" spans="1:86" s="90" customFormat="1" ht="84" customHeight="1" x14ac:dyDescent="0.3">
      <c r="A17" s="232"/>
      <c r="B17" s="232"/>
      <c r="C17" s="232"/>
      <c r="D17" s="232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8"/>
      <c r="AT17" s="369"/>
      <c r="AU17" s="369"/>
      <c r="AV17" s="369"/>
      <c r="AW17" s="369"/>
      <c r="AX17" s="369"/>
      <c r="AY17" s="369"/>
      <c r="AZ17" s="369"/>
      <c r="BA17" s="369"/>
      <c r="BB17" s="37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368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0"/>
      <c r="CC17" s="369"/>
      <c r="CD17" s="369"/>
      <c r="CE17" s="369"/>
      <c r="CF17" s="369"/>
      <c r="CG17" s="369"/>
      <c r="CH17" s="369"/>
    </row>
    <row r="18" spans="1:86" s="90" customFormat="1" ht="15.6" x14ac:dyDescent="0.3">
      <c r="A18" s="232"/>
      <c r="B18" s="232"/>
      <c r="C18" s="232"/>
      <c r="D18" s="232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8"/>
      <c r="AT18" s="369"/>
      <c r="AU18" s="369"/>
      <c r="AV18" s="369"/>
      <c r="AW18" s="369"/>
      <c r="AX18" s="369"/>
      <c r="AY18" s="369"/>
      <c r="AZ18" s="369"/>
      <c r="BA18" s="369"/>
      <c r="BB18" s="37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368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0"/>
      <c r="CC18" s="426"/>
      <c r="CD18" s="426"/>
      <c r="CE18" s="426"/>
      <c r="CF18" s="426"/>
      <c r="CG18" s="426"/>
      <c r="CH18" s="369"/>
    </row>
    <row r="19" spans="1:86" s="90" customFormat="1" ht="15.6" x14ac:dyDescent="0.3">
      <c r="A19" s="232"/>
      <c r="B19" s="232"/>
      <c r="C19" s="232"/>
      <c r="D19" s="232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71"/>
      <c r="AT19" s="372"/>
      <c r="AU19" s="372"/>
      <c r="AV19" s="372"/>
      <c r="AW19" s="372"/>
      <c r="AX19" s="372"/>
      <c r="AY19" s="372"/>
      <c r="AZ19" s="372"/>
      <c r="BA19" s="372"/>
      <c r="BB19" s="373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371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3"/>
      <c r="CC19" s="426"/>
      <c r="CD19" s="426"/>
      <c r="CE19" s="426"/>
      <c r="CF19" s="426"/>
      <c r="CG19" s="426"/>
      <c r="CH19" s="369"/>
    </row>
    <row r="20" spans="1:86" s="90" customFormat="1" ht="15.6" x14ac:dyDescent="0.3">
      <c r="A20" s="361">
        <v>1</v>
      </c>
      <c r="B20" s="361"/>
      <c r="C20" s="361"/>
      <c r="D20" s="361"/>
      <c r="E20" s="361">
        <v>2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>
        <v>3</v>
      </c>
      <c r="AT20" s="361"/>
      <c r="AU20" s="361"/>
      <c r="AV20" s="361"/>
      <c r="AW20" s="361"/>
      <c r="AX20" s="361"/>
      <c r="AY20" s="361"/>
      <c r="AZ20" s="361"/>
      <c r="BA20" s="361"/>
      <c r="BB20" s="361"/>
      <c r="BC20" s="361">
        <v>4</v>
      </c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 t="s">
        <v>114</v>
      </c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139"/>
      <c r="CD20" s="139"/>
      <c r="CE20" s="139"/>
      <c r="CF20" s="139"/>
      <c r="CG20" s="139"/>
      <c r="CH20" s="139"/>
    </row>
    <row r="21" spans="1:86" s="90" customFormat="1" ht="15.6" x14ac:dyDescent="0.3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413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137"/>
      <c r="CD21" s="137"/>
      <c r="CE21" s="137"/>
      <c r="CF21" s="137"/>
      <c r="CG21" s="137"/>
      <c r="CH21" s="137"/>
    </row>
    <row r="22" spans="1:86" s="90" customFormat="1" ht="15.6" x14ac:dyDescent="0.3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137"/>
      <c r="CD22" s="137"/>
      <c r="CE22" s="137"/>
      <c r="CF22" s="137"/>
      <c r="CG22" s="137"/>
      <c r="CH22" s="137"/>
    </row>
    <row r="23" spans="1:86" s="90" customFormat="1" ht="15.6" x14ac:dyDescent="0.3">
      <c r="A23" s="228" t="s">
        <v>303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30"/>
      <c r="AS23" s="236" t="s">
        <v>1</v>
      </c>
      <c r="AT23" s="236"/>
      <c r="AU23" s="236"/>
      <c r="AV23" s="236"/>
      <c r="AW23" s="236"/>
      <c r="AX23" s="236"/>
      <c r="AY23" s="236"/>
      <c r="AZ23" s="236"/>
      <c r="BA23" s="236"/>
      <c r="BB23" s="236"/>
      <c r="BC23" s="236" t="s">
        <v>1</v>
      </c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137"/>
      <c r="CD23" s="137"/>
      <c r="CE23" s="137"/>
      <c r="CF23" s="137"/>
      <c r="CG23" s="137"/>
      <c r="CH23" s="137"/>
    </row>
    <row r="24" spans="1:86" s="90" customFormat="1" ht="15.6" x14ac:dyDescent="0.3"/>
    <row r="25" spans="1:86" s="90" customFormat="1" ht="15.6" x14ac:dyDescent="0.3"/>
    <row r="26" spans="1:86" s="90" customFormat="1" ht="15.6" x14ac:dyDescent="0.3"/>
    <row r="27" spans="1:86" s="90" customFormat="1" ht="15.6" x14ac:dyDescent="0.3"/>
    <row r="28" spans="1:86" s="90" customFormat="1" ht="15.6" x14ac:dyDescent="0.3"/>
    <row r="29" spans="1:86" s="90" customFormat="1" ht="15.6" x14ac:dyDescent="0.3"/>
    <row r="30" spans="1:86" ht="15.6" x14ac:dyDescent="0.3">
      <c r="A30" s="428" t="s">
        <v>358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</row>
    <row r="31" spans="1:86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7"/>
      <c r="CD31" s="67"/>
      <c r="CE31" s="67"/>
      <c r="CF31" s="67"/>
      <c r="CG31" s="67"/>
      <c r="CH31" s="67"/>
    </row>
    <row r="32" spans="1:86" x14ac:dyDescent="0.25">
      <c r="A32" s="232" t="s">
        <v>56</v>
      </c>
      <c r="B32" s="232"/>
      <c r="C32" s="232"/>
      <c r="D32" s="232"/>
      <c r="E32" s="361" t="s">
        <v>110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 t="s">
        <v>241</v>
      </c>
      <c r="AT32" s="361"/>
      <c r="AU32" s="361"/>
      <c r="AV32" s="361"/>
      <c r="AW32" s="361"/>
      <c r="AX32" s="361"/>
      <c r="AY32" s="361"/>
      <c r="AZ32" s="361"/>
      <c r="BA32" s="361"/>
      <c r="BB32" s="361"/>
      <c r="BC32" s="232" t="s">
        <v>202</v>
      </c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361" t="s">
        <v>113</v>
      </c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427"/>
      <c r="CD32" s="427"/>
      <c r="CE32" s="427"/>
      <c r="CF32" s="427"/>
      <c r="CG32" s="427"/>
      <c r="CH32" s="427"/>
    </row>
    <row r="33" spans="1:86" ht="79.5" customHeight="1" x14ac:dyDescent="0.25">
      <c r="A33" s="232"/>
      <c r="B33" s="232"/>
      <c r="C33" s="232"/>
      <c r="D33" s="232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9"/>
      <c r="CD33" s="369"/>
      <c r="CE33" s="369"/>
      <c r="CF33" s="369"/>
      <c r="CG33" s="369"/>
      <c r="CH33" s="369"/>
    </row>
    <row r="34" spans="1:86" ht="12.75" customHeight="1" x14ac:dyDescent="0.25">
      <c r="A34" s="232"/>
      <c r="B34" s="232"/>
      <c r="C34" s="232"/>
      <c r="D34" s="232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426"/>
      <c r="CD34" s="426"/>
      <c r="CE34" s="426"/>
      <c r="CF34" s="426"/>
      <c r="CG34" s="426"/>
      <c r="CH34" s="369"/>
    </row>
    <row r="35" spans="1:86" x14ac:dyDescent="0.25">
      <c r="A35" s="232"/>
      <c r="B35" s="232"/>
      <c r="C35" s="232"/>
      <c r="D35" s="232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426"/>
      <c r="CD35" s="426"/>
      <c r="CE35" s="426"/>
      <c r="CF35" s="426"/>
      <c r="CG35" s="426"/>
      <c r="CH35" s="369"/>
    </row>
    <row r="36" spans="1:86" x14ac:dyDescent="0.25">
      <c r="A36" s="361">
        <v>1</v>
      </c>
      <c r="B36" s="361"/>
      <c r="C36" s="361"/>
      <c r="D36" s="361"/>
      <c r="E36" s="361">
        <v>2</v>
      </c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>
        <v>3</v>
      </c>
      <c r="AT36" s="361"/>
      <c r="AU36" s="361"/>
      <c r="AV36" s="361"/>
      <c r="AW36" s="361"/>
      <c r="AX36" s="361"/>
      <c r="AY36" s="361"/>
      <c r="AZ36" s="361"/>
      <c r="BA36" s="361"/>
      <c r="BB36" s="361"/>
      <c r="BC36" s="361">
        <v>4</v>
      </c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 t="s">
        <v>114</v>
      </c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139"/>
      <c r="CD36" s="139"/>
      <c r="CE36" s="139"/>
      <c r="CF36" s="139"/>
      <c r="CG36" s="139"/>
      <c r="CH36" s="139"/>
    </row>
    <row r="37" spans="1:86" x14ac:dyDescent="0.25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413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137"/>
      <c r="CD37" s="137"/>
      <c r="CE37" s="137"/>
      <c r="CF37" s="137"/>
      <c r="CG37" s="137"/>
      <c r="CH37" s="137"/>
    </row>
    <row r="38" spans="1:86" x14ac:dyDescent="0.25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137"/>
      <c r="CD38" s="137"/>
      <c r="CE38" s="137"/>
      <c r="CF38" s="137"/>
      <c r="CG38" s="137"/>
      <c r="CH38" s="137"/>
    </row>
    <row r="39" spans="1:86" x14ac:dyDescent="0.25">
      <c r="A39" s="228" t="s">
        <v>359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30"/>
      <c r="AS39" s="236" t="s">
        <v>1</v>
      </c>
      <c r="AT39" s="236"/>
      <c r="AU39" s="236"/>
      <c r="AV39" s="236"/>
      <c r="AW39" s="236"/>
      <c r="AX39" s="236"/>
      <c r="AY39" s="236"/>
      <c r="AZ39" s="236"/>
      <c r="BA39" s="236"/>
      <c r="BB39" s="236"/>
      <c r="BC39" s="236" t="s">
        <v>1</v>
      </c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137"/>
      <c r="CD39" s="137"/>
      <c r="CE39" s="137"/>
      <c r="CF39" s="137"/>
      <c r="CG39" s="137"/>
      <c r="CH39" s="137"/>
    </row>
  </sheetData>
  <mergeCells count="91">
    <mergeCell ref="A39:AR39"/>
    <mergeCell ref="AS39:BB39"/>
    <mergeCell ref="BC39:BM39"/>
    <mergeCell ref="BN39:CB39"/>
    <mergeCell ref="A16:D19"/>
    <mergeCell ref="E16:AR19"/>
    <mergeCell ref="AS16:BB19"/>
    <mergeCell ref="BC16:BM19"/>
    <mergeCell ref="BN16:CB19"/>
    <mergeCell ref="A20:D20"/>
    <mergeCell ref="A38:D38"/>
    <mergeCell ref="E38:AR38"/>
    <mergeCell ref="AS38:BB38"/>
    <mergeCell ref="BC38:BM38"/>
    <mergeCell ref="BN38:CB38"/>
    <mergeCell ref="A37:D37"/>
    <mergeCell ref="E37:AR37"/>
    <mergeCell ref="AS37:BB37"/>
    <mergeCell ref="BC37:BM37"/>
    <mergeCell ref="BN37:CB37"/>
    <mergeCell ref="A32:D35"/>
    <mergeCell ref="E32:AR35"/>
    <mergeCell ref="AS32:BB35"/>
    <mergeCell ref="BC32:BM35"/>
    <mergeCell ref="BN32:CB35"/>
    <mergeCell ref="A36:D36"/>
    <mergeCell ref="E36:AR36"/>
    <mergeCell ref="AS36:BB36"/>
    <mergeCell ref="BC36:BM36"/>
    <mergeCell ref="BN36:CB36"/>
    <mergeCell ref="CC32:CH32"/>
    <mergeCell ref="CC33:CD33"/>
    <mergeCell ref="CE33:CG33"/>
    <mergeCell ref="CH33:CH35"/>
    <mergeCell ref="CC34:CC35"/>
    <mergeCell ref="CD34:CD35"/>
    <mergeCell ref="CE34:CE35"/>
    <mergeCell ref="CF34:CF35"/>
    <mergeCell ref="CG34:CG35"/>
    <mergeCell ref="A30:CH30"/>
    <mergeCell ref="A23:AR23"/>
    <mergeCell ref="AS23:BB23"/>
    <mergeCell ref="BC23:BM23"/>
    <mergeCell ref="BN23:CB23"/>
    <mergeCell ref="A12:AN12"/>
    <mergeCell ref="A9:D9"/>
    <mergeCell ref="E9:AN9"/>
    <mergeCell ref="A10:D10"/>
    <mergeCell ref="E10:AN10"/>
    <mergeCell ref="CG7:CG8"/>
    <mergeCell ref="CG18:CG19"/>
    <mergeCell ref="A5:D8"/>
    <mergeCell ref="E5:AN8"/>
    <mergeCell ref="CC16:CH16"/>
    <mergeCell ref="A14:CH14"/>
    <mergeCell ref="CC5:CH5"/>
    <mergeCell ref="CC6:CD6"/>
    <mergeCell ref="CE6:CG6"/>
    <mergeCell ref="CH6:CH8"/>
    <mergeCell ref="CC7:CC8"/>
    <mergeCell ref="CD7:CD8"/>
    <mergeCell ref="CE7:CE8"/>
    <mergeCell ref="CF7:CF8"/>
    <mergeCell ref="A11:D11"/>
    <mergeCell ref="E11:AN11"/>
    <mergeCell ref="A21:D21"/>
    <mergeCell ref="E21:AR21"/>
    <mergeCell ref="CH17:CH19"/>
    <mergeCell ref="CC18:CC19"/>
    <mergeCell ref="CD18:CD19"/>
    <mergeCell ref="CE18:CE19"/>
    <mergeCell ref="CF18:CF19"/>
    <mergeCell ref="CC17:CD17"/>
    <mergeCell ref="CE17:CG17"/>
    <mergeCell ref="BN20:CB20"/>
    <mergeCell ref="E20:AR20"/>
    <mergeCell ref="AS21:BB21"/>
    <mergeCell ref="BC21:BM21"/>
    <mergeCell ref="BN21:CB21"/>
    <mergeCell ref="AS20:BB20"/>
    <mergeCell ref="BC20:BM20"/>
    <mergeCell ref="AO5:CB8"/>
    <mergeCell ref="AO9:CB9"/>
    <mergeCell ref="AO10:CB10"/>
    <mergeCell ref="AO11:CB11"/>
    <mergeCell ref="AO12:CB12"/>
    <mergeCell ref="A22:D22"/>
    <mergeCell ref="E22:AR22"/>
    <mergeCell ref="AS22:BB22"/>
    <mergeCell ref="BC22:BM22"/>
    <mergeCell ref="BN22:CB2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2"/>
  <sheetViews>
    <sheetView topLeftCell="A49" workbookViewId="0">
      <selection activeCell="F24" sqref="F24"/>
    </sheetView>
  </sheetViews>
  <sheetFormatPr defaultColWidth="1.109375" defaultRowHeight="15.6" x14ac:dyDescent="0.3"/>
  <cols>
    <col min="1" max="1" width="4" style="90" customWidth="1"/>
    <col min="2" max="2" width="17" style="90" customWidth="1"/>
    <col min="3" max="3" width="12.88671875" style="90" customWidth="1"/>
    <col min="4" max="4" width="11.109375" style="90" customWidth="1"/>
    <col min="5" max="5" width="12.88671875" style="90" customWidth="1"/>
    <col min="6" max="6" width="16.33203125" style="90" customWidth="1"/>
    <col min="7" max="7" width="15" style="90" customWidth="1"/>
    <col min="8" max="8" width="14" style="90" customWidth="1"/>
    <col min="9" max="9" width="9.5546875" style="90" customWidth="1"/>
    <col min="10" max="10" width="11.5546875" style="90" customWidth="1"/>
    <col min="11" max="11" width="8.88671875" style="90" customWidth="1"/>
    <col min="12" max="12" width="12.5546875" style="90" customWidth="1"/>
    <col min="13" max="13" width="5.33203125" style="90" customWidth="1"/>
    <col min="14" max="14" width="19.109375" style="90" customWidth="1"/>
    <col min="15" max="15" width="13.5546875" style="90" customWidth="1"/>
    <col min="16" max="16384" width="1.109375" style="90"/>
  </cols>
  <sheetData>
    <row r="1" spans="1:14" s="60" customFormat="1" x14ac:dyDescent="0.25">
      <c r="N1" s="61" t="s">
        <v>48</v>
      </c>
    </row>
    <row r="2" spans="1:14" s="60" customFormat="1" x14ac:dyDescent="0.25">
      <c r="N2" s="61" t="s">
        <v>49</v>
      </c>
    </row>
    <row r="3" spans="1:14" s="60" customFormat="1" ht="10.199999999999999" x14ac:dyDescent="0.25">
      <c r="N3" s="62"/>
    </row>
    <row r="4" spans="1:14" s="63" customFormat="1" ht="10.199999999999999" x14ac:dyDescent="0.25">
      <c r="N4" s="62"/>
    </row>
    <row r="5" spans="1:14" s="64" customFormat="1" ht="10.5" customHeight="1" x14ac:dyDescent="0.25">
      <c r="N5" s="62"/>
    </row>
    <row r="6" spans="1:14" s="64" customFormat="1" ht="10.5" customHeight="1" x14ac:dyDescent="0.25">
      <c r="N6" s="62"/>
    </row>
    <row r="7" spans="1:14" s="64" customFormat="1" ht="12" customHeight="1" x14ac:dyDescent="0.25">
      <c r="N7" s="62"/>
    </row>
    <row r="8" spans="1:14" s="64" customFormat="1" ht="12.75" customHeight="1" x14ac:dyDescent="0.25">
      <c r="N8" s="62"/>
    </row>
    <row r="10" spans="1:14" s="65" customFormat="1" x14ac:dyDescent="0.3">
      <c r="A10" s="242" t="s">
        <v>50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</row>
    <row r="11" spans="1:14" s="67" customFormat="1" ht="7.8" x14ac:dyDescent="0.15">
      <c r="A11" s="68"/>
      <c r="B11" s="68"/>
      <c r="C11" s="68"/>
      <c r="D11" s="68"/>
      <c r="E11" s="68"/>
      <c r="F11" s="68"/>
      <c r="G11" s="68"/>
      <c r="H11" s="68"/>
    </row>
    <row r="12" spans="1:14" s="67" customFormat="1" ht="17.25" customHeight="1" x14ac:dyDescent="0.3">
      <c r="A12" s="65" t="s">
        <v>51</v>
      </c>
      <c r="B12" s="68"/>
      <c r="C12" s="68"/>
      <c r="D12" s="68"/>
      <c r="E12" s="68"/>
      <c r="F12" s="69" t="s">
        <v>52</v>
      </c>
      <c r="G12" s="243" t="s">
        <v>53</v>
      </c>
      <c r="H12" s="243"/>
      <c r="I12" s="243"/>
      <c r="J12" s="243"/>
      <c r="K12" s="243"/>
      <c r="L12" s="243"/>
      <c r="M12" s="243"/>
      <c r="N12" s="243"/>
    </row>
    <row r="13" spans="1:14" s="67" customFormat="1" ht="15.75" customHeight="1" x14ac:dyDescent="0.15">
      <c r="A13" s="68"/>
      <c r="B13" s="68"/>
      <c r="C13" s="68"/>
      <c r="D13" s="68"/>
      <c r="E13" s="68"/>
      <c r="F13" s="68"/>
      <c r="G13" s="68"/>
      <c r="H13" s="68"/>
    </row>
    <row r="14" spans="1:14" s="65" customFormat="1" x14ac:dyDescent="0.3">
      <c r="A14" s="70" t="s">
        <v>54</v>
      </c>
      <c r="B14" s="70"/>
      <c r="C14" s="70"/>
      <c r="D14" s="70"/>
      <c r="E14" s="70"/>
      <c r="F14" s="70"/>
      <c r="G14" s="70"/>
      <c r="H14" s="70"/>
    </row>
    <row r="15" spans="1:14" s="71" customFormat="1" ht="13.2" x14ac:dyDescent="0.25"/>
    <row r="16" spans="1:14" x14ac:dyDescent="0.3">
      <c r="A16" s="70" t="s">
        <v>55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s="71" customFormat="1" ht="13.2" x14ac:dyDescent="0.25"/>
    <row r="18" spans="1:14" s="71" customFormat="1" ht="12.75" customHeight="1" x14ac:dyDescent="0.25">
      <c r="A18" s="232" t="s">
        <v>56</v>
      </c>
      <c r="B18" s="233" t="s">
        <v>57</v>
      </c>
      <c r="C18" s="232" t="s">
        <v>58</v>
      </c>
      <c r="D18" s="236" t="s">
        <v>59</v>
      </c>
      <c r="E18" s="236"/>
      <c r="F18" s="236"/>
      <c r="G18" s="236"/>
      <c r="H18" s="232" t="s">
        <v>60</v>
      </c>
      <c r="I18" s="236" t="s">
        <v>61</v>
      </c>
      <c r="J18" s="236"/>
      <c r="K18" s="236"/>
      <c r="L18" s="236"/>
      <c r="M18" s="236"/>
      <c r="N18" s="236"/>
    </row>
    <row r="19" spans="1:14" s="71" customFormat="1" ht="76.5" customHeight="1" x14ac:dyDescent="0.25">
      <c r="A19" s="232"/>
      <c r="B19" s="233"/>
      <c r="C19" s="232"/>
      <c r="D19" s="232" t="s">
        <v>62</v>
      </c>
      <c r="E19" s="232" t="s">
        <v>63</v>
      </c>
      <c r="F19" s="232" t="s">
        <v>64</v>
      </c>
      <c r="G19" s="232" t="s">
        <v>65</v>
      </c>
      <c r="H19" s="232"/>
      <c r="I19" s="232" t="s">
        <v>66</v>
      </c>
      <c r="J19" s="232"/>
      <c r="K19" s="239" t="s">
        <v>67</v>
      </c>
      <c r="L19" s="240"/>
      <c r="M19" s="241"/>
      <c r="N19" s="231" t="s">
        <v>68</v>
      </c>
    </row>
    <row r="20" spans="1:14" s="71" customFormat="1" ht="39" customHeight="1" x14ac:dyDescent="0.25">
      <c r="A20" s="232"/>
      <c r="B20" s="233"/>
      <c r="C20" s="232"/>
      <c r="D20" s="232"/>
      <c r="E20" s="232"/>
      <c r="F20" s="232"/>
      <c r="G20" s="232"/>
      <c r="H20" s="232"/>
      <c r="I20" s="72" t="s">
        <v>69</v>
      </c>
      <c r="J20" s="72" t="s">
        <v>70</v>
      </c>
      <c r="K20" s="72" t="s">
        <v>71</v>
      </c>
      <c r="L20" s="72" t="s">
        <v>69</v>
      </c>
      <c r="M20" s="72" t="s">
        <v>70</v>
      </c>
      <c r="N20" s="231"/>
    </row>
    <row r="21" spans="1:14" s="71" customFormat="1" ht="13.2" x14ac:dyDescent="0.25">
      <c r="A21" s="75">
        <v>1</v>
      </c>
      <c r="B21" s="75">
        <v>2</v>
      </c>
      <c r="C21" s="75">
        <v>3</v>
      </c>
      <c r="D21" s="75" t="s">
        <v>72</v>
      </c>
      <c r="E21" s="75">
        <v>5</v>
      </c>
      <c r="F21" s="75">
        <v>6</v>
      </c>
      <c r="G21" s="75">
        <v>7</v>
      </c>
      <c r="H21" s="75" t="s">
        <v>73</v>
      </c>
      <c r="I21" s="73">
        <v>9</v>
      </c>
      <c r="J21" s="73">
        <v>10</v>
      </c>
      <c r="K21" s="73">
        <v>11</v>
      </c>
      <c r="L21" s="73">
        <v>12</v>
      </c>
      <c r="M21" s="73">
        <v>13</v>
      </c>
      <c r="N21" s="73">
        <v>14</v>
      </c>
    </row>
    <row r="22" spans="1:14" s="71" customFormat="1" ht="13.8" x14ac:dyDescent="0.25">
      <c r="A22" s="75">
        <v>1</v>
      </c>
      <c r="B22" s="76" t="s">
        <v>74</v>
      </c>
      <c r="C22" s="77">
        <v>1</v>
      </c>
      <c r="D22" s="78">
        <f>E22+F22+G22</f>
        <v>62173.748</v>
      </c>
      <c r="E22" s="78">
        <v>47825.96</v>
      </c>
      <c r="F22" s="75"/>
      <c r="G22" s="79">
        <f>E22*30%</f>
        <v>14347.787999999999</v>
      </c>
      <c r="H22" s="79">
        <f>D22*C22*12</f>
        <v>746084.97600000002</v>
      </c>
      <c r="I22" s="73"/>
      <c r="J22" s="73">
        <f>H22</f>
        <v>746084.97600000002</v>
      </c>
      <c r="K22" s="73"/>
      <c r="L22" s="73"/>
      <c r="M22" s="73"/>
      <c r="N22" s="73"/>
    </row>
    <row r="23" spans="1:14" s="71" customFormat="1" ht="64.5" customHeight="1" x14ac:dyDescent="0.25">
      <c r="A23" s="75">
        <v>2</v>
      </c>
      <c r="B23" s="80" t="s">
        <v>75</v>
      </c>
      <c r="C23" s="77">
        <v>1</v>
      </c>
      <c r="D23" s="78">
        <f t="shared" ref="D23:D57" si="0">E23+F23+G23</f>
        <v>55956.373200000002</v>
      </c>
      <c r="E23" s="78">
        <f>E22*0.9</f>
        <v>43043.364000000001</v>
      </c>
      <c r="F23" s="75"/>
      <c r="G23" s="79">
        <f t="shared" ref="G23:G57" si="1">JA23*30%</f>
        <v>12913.0092</v>
      </c>
      <c r="H23" s="79">
        <f t="shared" ref="H23:H57" si="2">IZ23*IY23*12</f>
        <v>671476.47840000002</v>
      </c>
      <c r="I23" s="81"/>
      <c r="J23" s="73">
        <f t="shared" ref="J23:J57" si="3">JD23</f>
        <v>671476.47840000002</v>
      </c>
      <c r="K23" s="73"/>
      <c r="L23" s="73"/>
      <c r="M23" s="73"/>
      <c r="N23" s="73"/>
    </row>
    <row r="24" spans="1:14" s="71" customFormat="1" ht="54.75" customHeight="1" x14ac:dyDescent="0.25">
      <c r="A24" s="75">
        <v>3</v>
      </c>
      <c r="B24" s="80" t="s">
        <v>76</v>
      </c>
      <c r="C24" s="77">
        <v>1</v>
      </c>
      <c r="D24" s="78">
        <f t="shared" si="0"/>
        <v>55956.373200000002</v>
      </c>
      <c r="E24" s="78">
        <f>E22*0.9</f>
        <v>43043.364000000001</v>
      </c>
      <c r="F24" s="75"/>
      <c r="G24" s="79">
        <f t="shared" si="1"/>
        <v>12913.0092</v>
      </c>
      <c r="H24" s="79">
        <f t="shared" si="2"/>
        <v>671476.47840000002</v>
      </c>
      <c r="I24" s="81"/>
      <c r="J24" s="73">
        <f t="shared" si="3"/>
        <v>671476.47840000002</v>
      </c>
      <c r="K24" s="73"/>
      <c r="L24" s="73"/>
      <c r="M24" s="73"/>
      <c r="N24" s="73"/>
    </row>
    <row r="25" spans="1:14" s="71" customFormat="1" ht="54" customHeight="1" x14ac:dyDescent="0.25">
      <c r="A25" s="75">
        <v>4</v>
      </c>
      <c r="B25" s="80" t="s">
        <v>77</v>
      </c>
      <c r="C25" s="77">
        <v>1</v>
      </c>
      <c r="D25" s="78">
        <f t="shared" si="0"/>
        <v>55956.373200000002</v>
      </c>
      <c r="E25" s="78">
        <f>E22*0.9</f>
        <v>43043.364000000001</v>
      </c>
      <c r="F25" s="75"/>
      <c r="G25" s="79">
        <f t="shared" si="1"/>
        <v>12913.0092</v>
      </c>
      <c r="H25" s="79">
        <f t="shared" si="2"/>
        <v>671476.47840000002</v>
      </c>
      <c r="I25" s="81"/>
      <c r="J25" s="73">
        <f t="shared" si="3"/>
        <v>671476.47840000002</v>
      </c>
      <c r="K25" s="73"/>
      <c r="L25" s="73"/>
      <c r="M25" s="73"/>
      <c r="N25" s="73"/>
    </row>
    <row r="26" spans="1:14" s="71" customFormat="1" ht="28.5" customHeight="1" x14ac:dyDescent="0.25">
      <c r="A26" s="75">
        <v>5</v>
      </c>
      <c r="B26" s="80" t="s">
        <v>78</v>
      </c>
      <c r="C26" s="77">
        <v>5</v>
      </c>
      <c r="D26" s="78">
        <f t="shared" si="0"/>
        <v>26490.1</v>
      </c>
      <c r="E26" s="78">
        <v>20377</v>
      </c>
      <c r="F26" s="75"/>
      <c r="G26" s="79">
        <f t="shared" si="1"/>
        <v>6113.0999999999995</v>
      </c>
      <c r="H26" s="79">
        <f t="shared" si="2"/>
        <v>1589406</v>
      </c>
      <c r="I26" s="81"/>
      <c r="J26" s="73">
        <f t="shared" si="3"/>
        <v>1589406</v>
      </c>
      <c r="K26" s="73"/>
      <c r="L26" s="73"/>
      <c r="M26" s="73"/>
      <c r="N26" s="73"/>
    </row>
    <row r="27" spans="1:14" s="71" customFormat="1" ht="27" customHeight="1" x14ac:dyDescent="0.25">
      <c r="A27" s="75">
        <v>6</v>
      </c>
      <c r="B27" s="80" t="s">
        <v>79</v>
      </c>
      <c r="C27" s="77">
        <v>1</v>
      </c>
      <c r="D27" s="78">
        <f t="shared" si="0"/>
        <v>23938.004999999997</v>
      </c>
      <c r="E27" s="78">
        <v>18413.849999999999</v>
      </c>
      <c r="F27" s="75"/>
      <c r="G27" s="79">
        <f t="shared" si="1"/>
        <v>5524.1549999999997</v>
      </c>
      <c r="H27" s="79">
        <f t="shared" si="2"/>
        <v>287256.05999999994</v>
      </c>
      <c r="I27" s="73"/>
      <c r="J27" s="73">
        <f t="shared" si="3"/>
        <v>287256.05999999994</v>
      </c>
      <c r="K27" s="73"/>
      <c r="L27" s="73"/>
      <c r="M27" s="73"/>
      <c r="N27" s="73"/>
    </row>
    <row r="28" spans="1:14" s="71" customFormat="1" ht="18" customHeight="1" x14ac:dyDescent="0.25">
      <c r="A28" s="75">
        <v>7</v>
      </c>
      <c r="B28" s="80" t="s">
        <v>80</v>
      </c>
      <c r="C28" s="77">
        <v>7.5</v>
      </c>
      <c r="D28" s="78">
        <f t="shared" si="0"/>
        <v>24551.8</v>
      </c>
      <c r="E28" s="78">
        <v>18886</v>
      </c>
      <c r="F28" s="79"/>
      <c r="G28" s="79">
        <f t="shared" si="1"/>
        <v>5665.8</v>
      </c>
      <c r="H28" s="79">
        <f t="shared" si="2"/>
        <v>2209662</v>
      </c>
      <c r="I28" s="81"/>
      <c r="J28" s="73">
        <f t="shared" si="3"/>
        <v>2209662</v>
      </c>
      <c r="K28" s="73"/>
      <c r="L28" s="73"/>
      <c r="M28" s="73"/>
      <c r="N28" s="73"/>
    </row>
    <row r="29" spans="1:14" s="71" customFormat="1" ht="27" customHeight="1" x14ac:dyDescent="0.25">
      <c r="A29" s="75">
        <v>8</v>
      </c>
      <c r="B29" s="80" t="s">
        <v>81</v>
      </c>
      <c r="C29" s="77">
        <v>3</v>
      </c>
      <c r="D29" s="78">
        <f t="shared" si="0"/>
        <v>19383</v>
      </c>
      <c r="E29" s="78">
        <v>14910</v>
      </c>
      <c r="F29" s="79"/>
      <c r="G29" s="79">
        <f t="shared" si="1"/>
        <v>4473</v>
      </c>
      <c r="H29" s="79">
        <f t="shared" si="2"/>
        <v>697788</v>
      </c>
      <c r="I29" s="73"/>
      <c r="J29" s="73">
        <f t="shared" si="3"/>
        <v>697788</v>
      </c>
      <c r="K29" s="73"/>
      <c r="L29" s="73"/>
      <c r="M29" s="73"/>
      <c r="N29" s="73"/>
    </row>
    <row r="30" spans="1:14" s="71" customFormat="1" ht="24.75" customHeight="1" x14ac:dyDescent="0.25">
      <c r="A30" s="75">
        <v>9</v>
      </c>
      <c r="B30" s="80" t="s">
        <v>81</v>
      </c>
      <c r="C30" s="77">
        <v>2</v>
      </c>
      <c r="D30" s="78">
        <f t="shared" si="0"/>
        <v>23259.599999999999</v>
      </c>
      <c r="E30" s="78">
        <v>17892</v>
      </c>
      <c r="F30" s="75"/>
      <c r="G30" s="79">
        <f t="shared" si="1"/>
        <v>5367.5999999999995</v>
      </c>
      <c r="H30" s="79">
        <f t="shared" si="2"/>
        <v>558230.39999999991</v>
      </c>
      <c r="I30" s="73"/>
      <c r="J30" s="73">
        <f t="shared" si="3"/>
        <v>558230.39999999991</v>
      </c>
      <c r="K30" s="73"/>
      <c r="L30" s="73"/>
      <c r="M30" s="73"/>
      <c r="N30" s="73"/>
    </row>
    <row r="31" spans="1:14" s="71" customFormat="1" ht="42.6" customHeight="1" x14ac:dyDescent="0.25">
      <c r="A31" s="75">
        <v>10</v>
      </c>
      <c r="B31" s="80" t="s">
        <v>82</v>
      </c>
      <c r="C31" s="77">
        <f>13.61+0.39</f>
        <v>14</v>
      </c>
      <c r="D31" s="78">
        <f t="shared" si="0"/>
        <v>27091.78</v>
      </c>
      <c r="E31" s="78">
        <v>14910</v>
      </c>
      <c r="F31" s="75">
        <v>7708.78</v>
      </c>
      <c r="G31" s="79">
        <f>E31*30%</f>
        <v>4473</v>
      </c>
      <c r="H31" s="79">
        <f t="shared" si="2"/>
        <v>4551419.04</v>
      </c>
      <c r="I31" s="73"/>
      <c r="J31" s="73">
        <f t="shared" si="3"/>
        <v>4551419.04</v>
      </c>
      <c r="K31" s="73"/>
      <c r="L31" s="73"/>
      <c r="M31" s="73"/>
      <c r="N31" s="73"/>
    </row>
    <row r="32" spans="1:14" s="71" customFormat="1" ht="39.6" customHeight="1" x14ac:dyDescent="0.25">
      <c r="A32" s="75">
        <v>11</v>
      </c>
      <c r="B32" s="80" t="s">
        <v>82</v>
      </c>
      <c r="C32" s="77">
        <f>60.24-0.39</f>
        <v>59.85</v>
      </c>
      <c r="D32" s="78">
        <f t="shared" si="0"/>
        <v>30968.379999999997</v>
      </c>
      <c r="E32" s="78">
        <v>17892</v>
      </c>
      <c r="F32" s="75">
        <v>7708.78</v>
      </c>
      <c r="G32" s="79">
        <f>E32*30%</f>
        <v>5367.5999999999995</v>
      </c>
      <c r="H32" s="79">
        <f t="shared" si="2"/>
        <v>22241490.515999999</v>
      </c>
      <c r="I32" s="73"/>
      <c r="J32" s="73">
        <f t="shared" si="3"/>
        <v>22241490.515999999</v>
      </c>
      <c r="K32" s="73"/>
      <c r="L32" s="73"/>
      <c r="M32" s="73"/>
      <c r="N32" s="73"/>
    </row>
    <row r="33" spans="1:14" s="71" customFormat="1" ht="27" customHeight="1" x14ac:dyDescent="0.25">
      <c r="A33" s="75">
        <v>12</v>
      </c>
      <c r="B33" s="80" t="s">
        <v>83</v>
      </c>
      <c r="C33" s="77">
        <v>4</v>
      </c>
      <c r="D33" s="78">
        <f t="shared" si="0"/>
        <v>22666.474999999999</v>
      </c>
      <c r="E33" s="78">
        <v>17435.75</v>
      </c>
      <c r="F33" s="75"/>
      <c r="G33" s="79">
        <f t="shared" si="1"/>
        <v>5230.7249999999995</v>
      </c>
      <c r="H33" s="79">
        <f t="shared" si="2"/>
        <v>1087990.7999999998</v>
      </c>
      <c r="I33" s="73"/>
      <c r="J33" s="73">
        <f t="shared" si="3"/>
        <v>1087990.7999999998</v>
      </c>
      <c r="K33" s="73"/>
      <c r="L33" s="73"/>
      <c r="M33" s="73"/>
      <c r="N33" s="73"/>
    </row>
    <row r="34" spans="1:14" s="71" customFormat="1" ht="15" customHeight="1" x14ac:dyDescent="0.25">
      <c r="A34" s="75">
        <v>13</v>
      </c>
      <c r="B34" s="80" t="s">
        <v>84</v>
      </c>
      <c r="C34" s="77">
        <v>1</v>
      </c>
      <c r="D34" s="78">
        <f>E34+F34+G34</f>
        <v>49738.998400000004</v>
      </c>
      <c r="E34" s="78">
        <f>E22*0.8</f>
        <v>38260.768000000004</v>
      </c>
      <c r="F34" s="75"/>
      <c r="G34" s="79">
        <f t="shared" si="1"/>
        <v>11478.2304</v>
      </c>
      <c r="H34" s="79">
        <f t="shared" si="2"/>
        <v>596867.98080000002</v>
      </c>
      <c r="I34" s="81"/>
      <c r="J34" s="73">
        <f t="shared" si="3"/>
        <v>596867.98080000002</v>
      </c>
      <c r="K34" s="73"/>
      <c r="L34" s="73"/>
      <c r="M34" s="73"/>
      <c r="N34" s="73"/>
    </row>
    <row r="35" spans="1:14" s="71" customFormat="1" ht="13.8" x14ac:dyDescent="0.25">
      <c r="A35" s="75">
        <v>14</v>
      </c>
      <c r="B35" s="80" t="s">
        <v>85</v>
      </c>
      <c r="C35" s="77">
        <v>1</v>
      </c>
      <c r="D35" s="78">
        <f t="shared" si="0"/>
        <v>19488.963</v>
      </c>
      <c r="E35" s="78">
        <v>14991.51</v>
      </c>
      <c r="F35" s="75"/>
      <c r="G35" s="79">
        <f t="shared" si="1"/>
        <v>4497.4529999999995</v>
      </c>
      <c r="H35" s="79">
        <f t="shared" si="2"/>
        <v>233867.55599999998</v>
      </c>
      <c r="I35" s="81"/>
      <c r="J35" s="73">
        <f t="shared" si="3"/>
        <v>233867.55599999998</v>
      </c>
      <c r="K35" s="73"/>
      <c r="L35" s="73"/>
      <c r="M35" s="73"/>
      <c r="N35" s="73"/>
    </row>
    <row r="36" spans="1:14" s="71" customFormat="1" ht="13.8" x14ac:dyDescent="0.25">
      <c r="A36" s="75">
        <v>15</v>
      </c>
      <c r="B36" s="80" t="s">
        <v>86</v>
      </c>
      <c r="C36" s="77">
        <v>0.5</v>
      </c>
      <c r="D36" s="78">
        <f t="shared" si="0"/>
        <v>19488.963</v>
      </c>
      <c r="E36" s="78">
        <v>14991.51</v>
      </c>
      <c r="F36" s="79"/>
      <c r="G36" s="79">
        <f t="shared" si="1"/>
        <v>4497.4529999999995</v>
      </c>
      <c r="H36" s="79">
        <f t="shared" si="2"/>
        <v>116933.77799999999</v>
      </c>
      <c r="I36" s="81"/>
      <c r="J36" s="73">
        <f t="shared" si="3"/>
        <v>116933.77799999999</v>
      </c>
      <c r="K36" s="73"/>
      <c r="L36" s="73"/>
      <c r="M36" s="73"/>
      <c r="N36" s="73"/>
    </row>
    <row r="37" spans="1:14" s="71" customFormat="1" ht="27" customHeight="1" x14ac:dyDescent="0.25">
      <c r="A37" s="75">
        <v>16</v>
      </c>
      <c r="B37" s="80" t="s">
        <v>87</v>
      </c>
      <c r="C37" s="77">
        <v>1</v>
      </c>
      <c r="D37" s="78">
        <f t="shared" si="0"/>
        <v>19488.963</v>
      </c>
      <c r="E37" s="78">
        <v>14991.51</v>
      </c>
      <c r="F37" s="75"/>
      <c r="G37" s="79">
        <f t="shared" si="1"/>
        <v>4497.4529999999995</v>
      </c>
      <c r="H37" s="79">
        <f t="shared" si="2"/>
        <v>233867.55599999998</v>
      </c>
      <c r="I37" s="73"/>
      <c r="J37" s="73">
        <f t="shared" si="3"/>
        <v>233867.55599999998</v>
      </c>
      <c r="K37" s="73"/>
      <c r="L37" s="73"/>
      <c r="M37" s="73"/>
      <c r="N37" s="73"/>
    </row>
    <row r="38" spans="1:14" s="71" customFormat="1" ht="13.8" x14ac:dyDescent="0.25">
      <c r="A38" s="75">
        <v>17</v>
      </c>
      <c r="B38" s="80" t="s">
        <v>88</v>
      </c>
      <c r="C38" s="77">
        <v>1</v>
      </c>
      <c r="D38" s="78">
        <f t="shared" si="0"/>
        <v>19488.963</v>
      </c>
      <c r="E38" s="78">
        <v>14991.51</v>
      </c>
      <c r="F38" s="82"/>
      <c r="G38" s="79">
        <f t="shared" si="1"/>
        <v>4497.4529999999995</v>
      </c>
      <c r="H38" s="79">
        <f t="shared" si="2"/>
        <v>233867.55599999998</v>
      </c>
      <c r="I38" s="83"/>
      <c r="J38" s="73">
        <f t="shared" si="3"/>
        <v>233867.55599999998</v>
      </c>
      <c r="K38" s="83"/>
      <c r="L38" s="83"/>
      <c r="M38" s="83"/>
      <c r="N38" s="83"/>
    </row>
    <row r="39" spans="1:14" s="71" customFormat="1" ht="13.8" x14ac:dyDescent="0.25">
      <c r="A39" s="75">
        <v>18</v>
      </c>
      <c r="B39" s="80" t="s">
        <v>89</v>
      </c>
      <c r="C39" s="77">
        <v>1.5</v>
      </c>
      <c r="D39" s="78">
        <f t="shared" si="0"/>
        <v>23938.004999999997</v>
      </c>
      <c r="E39" s="78">
        <v>18413.849999999999</v>
      </c>
      <c r="F39" s="82"/>
      <c r="G39" s="79">
        <f t="shared" si="1"/>
        <v>5524.1549999999997</v>
      </c>
      <c r="H39" s="79">
        <f t="shared" si="2"/>
        <v>430884.08999999991</v>
      </c>
      <c r="I39" s="83"/>
      <c r="J39" s="73">
        <f t="shared" si="3"/>
        <v>430884.08999999991</v>
      </c>
      <c r="K39" s="83"/>
      <c r="L39" s="83"/>
      <c r="M39" s="83"/>
      <c r="N39" s="83"/>
    </row>
    <row r="40" spans="1:14" s="71" customFormat="1" ht="13.8" x14ac:dyDescent="0.25">
      <c r="A40" s="75">
        <v>19</v>
      </c>
      <c r="B40" s="80" t="s">
        <v>90</v>
      </c>
      <c r="C40" s="77">
        <v>1.5</v>
      </c>
      <c r="D40" s="78">
        <f t="shared" si="0"/>
        <v>22666.474999999999</v>
      </c>
      <c r="E40" s="78">
        <v>17435.75</v>
      </c>
      <c r="F40" s="82"/>
      <c r="G40" s="79">
        <f t="shared" si="1"/>
        <v>5230.7249999999995</v>
      </c>
      <c r="H40" s="79">
        <f t="shared" si="2"/>
        <v>407996.54999999993</v>
      </c>
      <c r="I40" s="83"/>
      <c r="J40" s="73">
        <f t="shared" si="3"/>
        <v>407996.54999999993</v>
      </c>
      <c r="K40" s="83"/>
      <c r="L40" s="83"/>
      <c r="M40" s="83"/>
      <c r="N40" s="83"/>
    </row>
    <row r="41" spans="1:14" s="71" customFormat="1" ht="13.8" x14ac:dyDescent="0.25">
      <c r="A41" s="75">
        <v>20</v>
      </c>
      <c r="B41" s="80" t="s">
        <v>91</v>
      </c>
      <c r="C41" s="77">
        <v>1.5</v>
      </c>
      <c r="D41" s="78">
        <f t="shared" si="0"/>
        <v>23938.004999999997</v>
      </c>
      <c r="E41" s="78">
        <v>18413.849999999999</v>
      </c>
      <c r="F41" s="82"/>
      <c r="G41" s="79">
        <f t="shared" si="1"/>
        <v>5524.1549999999997</v>
      </c>
      <c r="H41" s="79">
        <f t="shared" si="2"/>
        <v>430884.08999999991</v>
      </c>
      <c r="I41" s="83"/>
      <c r="J41" s="73">
        <f t="shared" si="3"/>
        <v>430884.08999999991</v>
      </c>
      <c r="K41" s="83"/>
      <c r="L41" s="83"/>
      <c r="M41" s="83"/>
      <c r="N41" s="83"/>
    </row>
    <row r="42" spans="1:14" s="71" customFormat="1" ht="15" customHeight="1" x14ac:dyDescent="0.25">
      <c r="A42" s="75">
        <v>21</v>
      </c>
      <c r="B42" s="80" t="s">
        <v>92</v>
      </c>
      <c r="C42" s="77">
        <v>1</v>
      </c>
      <c r="D42" s="78">
        <f t="shared" si="0"/>
        <v>22666.474999999999</v>
      </c>
      <c r="E42" s="78">
        <v>17435.75</v>
      </c>
      <c r="F42" s="82"/>
      <c r="G42" s="79">
        <f t="shared" si="1"/>
        <v>5230.7249999999995</v>
      </c>
      <c r="H42" s="79">
        <f t="shared" si="2"/>
        <v>271997.69999999995</v>
      </c>
      <c r="I42" s="83"/>
      <c r="J42" s="73">
        <f t="shared" si="3"/>
        <v>271997.69999999995</v>
      </c>
      <c r="K42" s="83"/>
      <c r="L42" s="83"/>
      <c r="M42" s="83"/>
      <c r="N42" s="83"/>
    </row>
    <row r="43" spans="1:14" s="71" customFormat="1" ht="27" customHeight="1" x14ac:dyDescent="0.25">
      <c r="A43" s="75">
        <v>22</v>
      </c>
      <c r="B43" s="80" t="s">
        <v>93</v>
      </c>
      <c r="C43" s="77">
        <v>1</v>
      </c>
      <c r="D43" s="78">
        <f t="shared" si="0"/>
        <v>22666.474999999999</v>
      </c>
      <c r="E43" s="78">
        <v>17435.75</v>
      </c>
      <c r="F43" s="82"/>
      <c r="G43" s="79">
        <f t="shared" si="1"/>
        <v>5230.7249999999995</v>
      </c>
      <c r="H43" s="79">
        <f t="shared" si="2"/>
        <v>271997.69999999995</v>
      </c>
      <c r="I43" s="83"/>
      <c r="J43" s="73">
        <f t="shared" si="3"/>
        <v>271997.69999999995</v>
      </c>
      <c r="K43" s="83"/>
      <c r="L43" s="83"/>
      <c r="M43" s="83"/>
      <c r="N43" s="83"/>
    </row>
    <row r="44" spans="1:14" s="71" customFormat="1" ht="13.8" x14ac:dyDescent="0.25">
      <c r="A44" s="75">
        <v>23</v>
      </c>
      <c r="B44" s="80" t="s">
        <v>94</v>
      </c>
      <c r="C44" s="77">
        <v>3</v>
      </c>
      <c r="D44" s="78">
        <f t="shared" si="0"/>
        <v>13557.764999999999</v>
      </c>
      <c r="E44" s="78">
        <v>10429.049999999999</v>
      </c>
      <c r="F44" s="82"/>
      <c r="G44" s="79">
        <f t="shared" si="1"/>
        <v>3128.7149999999997</v>
      </c>
      <c r="H44" s="79">
        <f t="shared" si="2"/>
        <v>488079.54</v>
      </c>
      <c r="I44" s="83"/>
      <c r="J44" s="73">
        <f t="shared" si="3"/>
        <v>488079.54</v>
      </c>
      <c r="K44" s="83"/>
      <c r="L44" s="83"/>
      <c r="M44" s="83"/>
      <c r="N44" s="83"/>
    </row>
    <row r="45" spans="1:14" s="71" customFormat="1" ht="15" customHeight="1" x14ac:dyDescent="0.25">
      <c r="A45" s="75">
        <v>24</v>
      </c>
      <c r="B45" s="80" t="s">
        <v>95</v>
      </c>
      <c r="C45" s="77">
        <v>1</v>
      </c>
      <c r="D45" s="78">
        <f t="shared" si="0"/>
        <v>13345.839</v>
      </c>
      <c r="E45" s="78">
        <v>10266.030000000001</v>
      </c>
      <c r="F45" s="82"/>
      <c r="G45" s="79">
        <f t="shared" si="1"/>
        <v>3079.8090000000002</v>
      </c>
      <c r="H45" s="79">
        <f t="shared" si="2"/>
        <v>160150.068</v>
      </c>
      <c r="I45" s="83"/>
      <c r="J45" s="73">
        <f t="shared" si="3"/>
        <v>160150.068</v>
      </c>
      <c r="K45" s="83"/>
      <c r="L45" s="83"/>
      <c r="M45" s="83"/>
      <c r="N45" s="83"/>
    </row>
    <row r="46" spans="1:14" s="71" customFormat="1" ht="15" customHeight="1" x14ac:dyDescent="0.25">
      <c r="A46" s="75">
        <v>25</v>
      </c>
      <c r="B46" s="80" t="s">
        <v>96</v>
      </c>
      <c r="C46" s="77">
        <v>1</v>
      </c>
      <c r="D46" s="78">
        <f t="shared" si="0"/>
        <v>14362.803</v>
      </c>
      <c r="E46" s="78">
        <v>11048.31</v>
      </c>
      <c r="F46" s="82"/>
      <c r="G46" s="79">
        <f t="shared" si="1"/>
        <v>3314.4929999999999</v>
      </c>
      <c r="H46" s="79">
        <f t="shared" si="2"/>
        <v>172353.636</v>
      </c>
      <c r="I46" s="83"/>
      <c r="J46" s="73">
        <f t="shared" si="3"/>
        <v>172353.636</v>
      </c>
      <c r="K46" s="83"/>
      <c r="L46" s="83"/>
      <c r="M46" s="83"/>
      <c r="N46" s="83"/>
    </row>
    <row r="47" spans="1:14" s="71" customFormat="1" ht="15" customHeight="1" x14ac:dyDescent="0.25">
      <c r="A47" s="75">
        <v>26</v>
      </c>
      <c r="B47" s="80" t="s">
        <v>97</v>
      </c>
      <c r="C47" s="77">
        <v>1</v>
      </c>
      <c r="D47" s="78">
        <f t="shared" si="0"/>
        <v>13557.764999999999</v>
      </c>
      <c r="E47" s="78">
        <v>10429.049999999999</v>
      </c>
      <c r="F47" s="82"/>
      <c r="G47" s="79">
        <f t="shared" si="1"/>
        <v>3128.7149999999997</v>
      </c>
      <c r="H47" s="79">
        <f t="shared" si="2"/>
        <v>162693.18</v>
      </c>
      <c r="I47" s="83"/>
      <c r="J47" s="73">
        <f t="shared" si="3"/>
        <v>162693.18</v>
      </c>
      <c r="K47" s="83"/>
      <c r="L47" s="83"/>
      <c r="M47" s="83"/>
      <c r="N47" s="83"/>
    </row>
    <row r="48" spans="1:14" s="71" customFormat="1" ht="15" customHeight="1" x14ac:dyDescent="0.25">
      <c r="A48" s="75">
        <v>27</v>
      </c>
      <c r="B48" s="80" t="s">
        <v>98</v>
      </c>
      <c r="C48" s="77">
        <v>1</v>
      </c>
      <c r="D48" s="78">
        <f t="shared" si="0"/>
        <v>13557.764999999999</v>
      </c>
      <c r="E48" s="78">
        <v>10429.049999999999</v>
      </c>
      <c r="F48" s="82"/>
      <c r="G48" s="79">
        <f t="shared" si="1"/>
        <v>3128.7149999999997</v>
      </c>
      <c r="H48" s="79">
        <f t="shared" si="2"/>
        <v>162693.18</v>
      </c>
      <c r="I48" s="83"/>
      <c r="J48" s="73">
        <f t="shared" si="3"/>
        <v>162693.18</v>
      </c>
      <c r="K48" s="83"/>
      <c r="L48" s="83"/>
      <c r="M48" s="83"/>
      <c r="N48" s="83"/>
    </row>
    <row r="49" spans="1:14" s="71" customFormat="1" ht="15" customHeight="1" x14ac:dyDescent="0.25">
      <c r="A49" s="75">
        <v>28</v>
      </c>
      <c r="B49" s="80" t="s">
        <v>99</v>
      </c>
      <c r="C49" s="77">
        <v>1</v>
      </c>
      <c r="D49" s="78">
        <f t="shared" si="0"/>
        <v>13557.764999999999</v>
      </c>
      <c r="E49" s="78">
        <v>10429.049999999999</v>
      </c>
      <c r="F49" s="82"/>
      <c r="G49" s="79">
        <f t="shared" si="1"/>
        <v>3128.7149999999997</v>
      </c>
      <c r="H49" s="79">
        <f t="shared" si="2"/>
        <v>162693.18</v>
      </c>
      <c r="I49" s="83"/>
      <c r="J49" s="73">
        <f t="shared" si="3"/>
        <v>162693.18</v>
      </c>
      <c r="K49" s="83"/>
      <c r="L49" s="83"/>
      <c r="M49" s="83"/>
      <c r="N49" s="83"/>
    </row>
    <row r="50" spans="1:14" s="71" customFormat="1" ht="13.8" x14ac:dyDescent="0.25">
      <c r="A50" s="75">
        <v>29</v>
      </c>
      <c r="B50" s="80" t="s">
        <v>100</v>
      </c>
      <c r="C50" s="77">
        <v>1</v>
      </c>
      <c r="D50" s="78">
        <f t="shared" si="0"/>
        <v>14362.803</v>
      </c>
      <c r="E50" s="78">
        <v>11048.31</v>
      </c>
      <c r="F50" s="82"/>
      <c r="G50" s="79">
        <f t="shared" si="1"/>
        <v>3314.4929999999999</v>
      </c>
      <c r="H50" s="79">
        <f t="shared" si="2"/>
        <v>172353.636</v>
      </c>
      <c r="I50" s="83"/>
      <c r="J50" s="73">
        <f t="shared" si="3"/>
        <v>172353.636</v>
      </c>
      <c r="K50" s="83"/>
      <c r="L50" s="83"/>
      <c r="M50" s="83"/>
      <c r="N50" s="83"/>
    </row>
    <row r="51" spans="1:14" s="71" customFormat="1" ht="13.8" x14ac:dyDescent="0.25">
      <c r="A51" s="75">
        <v>30</v>
      </c>
      <c r="B51" s="80" t="s">
        <v>101</v>
      </c>
      <c r="C51" s="77">
        <v>1</v>
      </c>
      <c r="D51" s="78">
        <f t="shared" si="0"/>
        <v>14405.443000000001</v>
      </c>
      <c r="E51" s="78">
        <v>11081.11</v>
      </c>
      <c r="F51" s="82"/>
      <c r="G51" s="79">
        <f t="shared" si="1"/>
        <v>3324.3330000000001</v>
      </c>
      <c r="H51" s="79">
        <f t="shared" si="2"/>
        <v>172865.31600000002</v>
      </c>
      <c r="I51" s="83"/>
      <c r="J51" s="73">
        <f t="shared" si="3"/>
        <v>172865.31600000002</v>
      </c>
      <c r="K51" s="83"/>
      <c r="L51" s="83"/>
      <c r="M51" s="83"/>
      <c r="N51" s="83"/>
    </row>
    <row r="52" spans="1:14" s="71" customFormat="1" ht="25.5" customHeight="1" x14ac:dyDescent="0.25">
      <c r="A52" s="75">
        <v>31</v>
      </c>
      <c r="B52" s="80" t="s">
        <v>102</v>
      </c>
      <c r="C52" s="77">
        <v>2</v>
      </c>
      <c r="D52" s="78">
        <f t="shared" si="0"/>
        <v>13345.839</v>
      </c>
      <c r="E52" s="78">
        <v>10266.030000000001</v>
      </c>
      <c r="F52" s="82"/>
      <c r="G52" s="79">
        <f t="shared" si="1"/>
        <v>3079.8090000000002</v>
      </c>
      <c r="H52" s="79">
        <f t="shared" si="2"/>
        <v>320300.136</v>
      </c>
      <c r="I52" s="83"/>
      <c r="J52" s="73">
        <f t="shared" si="3"/>
        <v>320300.136</v>
      </c>
      <c r="K52" s="83"/>
      <c r="L52" s="83"/>
      <c r="M52" s="83"/>
      <c r="N52" s="83"/>
    </row>
    <row r="53" spans="1:14" s="71" customFormat="1" ht="13.8" x14ac:dyDescent="0.25">
      <c r="A53" s="75">
        <v>32</v>
      </c>
      <c r="B53" s="80" t="s">
        <v>103</v>
      </c>
      <c r="C53" s="77">
        <v>2</v>
      </c>
      <c r="D53" s="78">
        <f t="shared" si="0"/>
        <v>12922</v>
      </c>
      <c r="E53" s="78">
        <v>9940</v>
      </c>
      <c r="F53" s="82"/>
      <c r="G53" s="79">
        <f t="shared" si="1"/>
        <v>2982</v>
      </c>
      <c r="H53" s="79">
        <f t="shared" si="2"/>
        <v>310128</v>
      </c>
      <c r="I53" s="83"/>
      <c r="J53" s="73">
        <f t="shared" si="3"/>
        <v>310128</v>
      </c>
      <c r="K53" s="83"/>
      <c r="L53" s="83"/>
      <c r="M53" s="83"/>
      <c r="N53" s="83"/>
    </row>
    <row r="54" spans="1:14" s="71" customFormat="1" ht="13.8" x14ac:dyDescent="0.25">
      <c r="A54" s="75">
        <v>33</v>
      </c>
      <c r="B54" s="80" t="s">
        <v>104</v>
      </c>
      <c r="C54" s="77">
        <v>2.5</v>
      </c>
      <c r="D54" s="78">
        <f t="shared" si="0"/>
        <v>13133.925999999999</v>
      </c>
      <c r="E54" s="78">
        <v>10103.02</v>
      </c>
      <c r="F54" s="82"/>
      <c r="G54" s="79">
        <f t="shared" si="1"/>
        <v>3030.9059999999999</v>
      </c>
      <c r="H54" s="79">
        <f t="shared" si="2"/>
        <v>394017.78</v>
      </c>
      <c r="I54" s="83"/>
      <c r="J54" s="73">
        <f t="shared" si="3"/>
        <v>394017.78</v>
      </c>
      <c r="K54" s="83"/>
      <c r="L54" s="83"/>
      <c r="M54" s="83"/>
      <c r="N54" s="83"/>
    </row>
    <row r="55" spans="1:14" s="71" customFormat="1" ht="15" customHeight="1" x14ac:dyDescent="0.25">
      <c r="A55" s="75">
        <v>34</v>
      </c>
      <c r="B55" s="80" t="s">
        <v>105</v>
      </c>
      <c r="C55" s="77">
        <v>16</v>
      </c>
      <c r="D55" s="78">
        <f t="shared" si="0"/>
        <v>13133.925999999999</v>
      </c>
      <c r="E55" s="78">
        <v>10103.02</v>
      </c>
      <c r="F55" s="82"/>
      <c r="G55" s="79">
        <f t="shared" si="1"/>
        <v>3030.9059999999999</v>
      </c>
      <c r="H55" s="79">
        <f t="shared" si="2"/>
        <v>2521713.7919999999</v>
      </c>
      <c r="I55" s="83"/>
      <c r="J55" s="73">
        <f t="shared" si="3"/>
        <v>2521713.7919999999</v>
      </c>
      <c r="K55" s="83"/>
      <c r="L55" s="83"/>
      <c r="M55" s="83"/>
      <c r="N55" s="83"/>
    </row>
    <row r="56" spans="1:14" s="71" customFormat="1" ht="13.8" x14ac:dyDescent="0.25">
      <c r="A56" s="75">
        <v>35</v>
      </c>
      <c r="B56" s="80" t="s">
        <v>106</v>
      </c>
      <c r="C56" s="77">
        <v>3</v>
      </c>
      <c r="D56" s="78">
        <f t="shared" si="0"/>
        <v>12922</v>
      </c>
      <c r="E56" s="78">
        <v>9940</v>
      </c>
      <c r="F56" s="82"/>
      <c r="G56" s="79">
        <f t="shared" si="1"/>
        <v>2982</v>
      </c>
      <c r="H56" s="79">
        <f t="shared" si="2"/>
        <v>465192</v>
      </c>
      <c r="I56" s="83"/>
      <c r="J56" s="73">
        <f t="shared" si="3"/>
        <v>465192</v>
      </c>
      <c r="K56" s="83"/>
      <c r="L56" s="83"/>
      <c r="M56" s="83"/>
      <c r="N56" s="83"/>
    </row>
    <row r="57" spans="1:14" s="71" customFormat="1" ht="13.8" x14ac:dyDescent="0.25">
      <c r="A57" s="75">
        <v>36</v>
      </c>
      <c r="B57" s="80" t="s">
        <v>107</v>
      </c>
      <c r="C57" s="77">
        <v>2.5</v>
      </c>
      <c r="D57" s="78">
        <f t="shared" si="0"/>
        <v>13133.925999999999</v>
      </c>
      <c r="E57" s="78">
        <v>10103.02</v>
      </c>
      <c r="F57" s="82"/>
      <c r="G57" s="79">
        <f t="shared" si="1"/>
        <v>3030.9059999999999</v>
      </c>
      <c r="H57" s="79">
        <f t="shared" si="2"/>
        <v>394017.78</v>
      </c>
      <c r="I57" s="83"/>
      <c r="J57" s="73">
        <f t="shared" si="3"/>
        <v>394017.78</v>
      </c>
      <c r="K57" s="83"/>
      <c r="L57" s="83"/>
      <c r="M57" s="83"/>
      <c r="N57" s="83"/>
    </row>
    <row r="58" spans="1:14" s="71" customFormat="1" ht="13.2" x14ac:dyDescent="0.25">
      <c r="A58" s="244" t="s">
        <v>108</v>
      </c>
      <c r="B58" s="244"/>
      <c r="C58" s="73" t="s">
        <v>1</v>
      </c>
      <c r="D58" s="84">
        <f>SUM(D22:D57)</f>
        <v>861261.85799999977</v>
      </c>
      <c r="E58" s="73" t="s">
        <v>1</v>
      </c>
      <c r="F58" s="73" t="s">
        <v>1</v>
      </c>
      <c r="G58" s="73" t="s">
        <v>1</v>
      </c>
      <c r="H58" s="85">
        <f>SUM(H22:H57)</f>
        <v>45272173.008000016</v>
      </c>
      <c r="I58" s="85">
        <f>SUM(I22:I57)</f>
        <v>0</v>
      </c>
      <c r="J58" s="85">
        <f>SUM(J22:J57)</f>
        <v>45272173.008000016</v>
      </c>
      <c r="K58" s="83"/>
      <c r="L58" s="83"/>
      <c r="M58" s="83"/>
      <c r="N58" s="86">
        <f>N35</f>
        <v>0</v>
      </c>
    </row>
    <row r="59" spans="1:14" s="71" customFormat="1" ht="13.2" x14ac:dyDescent="0.25"/>
    <row r="60" spans="1:14" s="71" customFormat="1" ht="30" customHeight="1" x14ac:dyDescent="0.3">
      <c r="A60" s="245" t="s">
        <v>109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</row>
    <row r="61" spans="1:14" s="71" customFormat="1" ht="13.2" x14ac:dyDescent="0.25"/>
    <row r="62" spans="1:14" s="71" customFormat="1" ht="12" customHeight="1" x14ac:dyDescent="0.25">
      <c r="A62" s="232" t="s">
        <v>56</v>
      </c>
      <c r="B62" s="232" t="s">
        <v>110</v>
      </c>
      <c r="C62" s="232"/>
      <c r="D62" s="232" t="s">
        <v>111</v>
      </c>
      <c r="E62" s="232" t="s">
        <v>112</v>
      </c>
      <c r="F62" s="232" t="s">
        <v>113</v>
      </c>
      <c r="G62" s="236" t="s">
        <v>61</v>
      </c>
      <c r="H62" s="236"/>
      <c r="I62" s="236"/>
      <c r="J62" s="236"/>
      <c r="K62" s="236"/>
      <c r="L62" s="236"/>
    </row>
    <row r="63" spans="1:14" s="71" customFormat="1" ht="103.5" customHeight="1" x14ac:dyDescent="0.25">
      <c r="A63" s="232"/>
      <c r="B63" s="232"/>
      <c r="C63" s="232"/>
      <c r="D63" s="232"/>
      <c r="E63" s="232"/>
      <c r="F63" s="232"/>
      <c r="G63" s="232" t="s">
        <v>66</v>
      </c>
      <c r="H63" s="232"/>
      <c r="I63" s="239" t="s">
        <v>67</v>
      </c>
      <c r="J63" s="240"/>
      <c r="K63" s="241"/>
      <c r="L63" s="231" t="s">
        <v>68</v>
      </c>
    </row>
    <row r="64" spans="1:14" s="71" customFormat="1" ht="26.4" x14ac:dyDescent="0.25">
      <c r="A64" s="232"/>
      <c r="B64" s="232"/>
      <c r="C64" s="232"/>
      <c r="D64" s="232"/>
      <c r="E64" s="232"/>
      <c r="F64" s="232"/>
      <c r="G64" s="74" t="s">
        <v>69</v>
      </c>
      <c r="H64" s="74" t="s">
        <v>70</v>
      </c>
      <c r="I64" s="87" t="s">
        <v>71</v>
      </c>
      <c r="J64" s="74" t="s">
        <v>69</v>
      </c>
      <c r="K64" s="74" t="s">
        <v>70</v>
      </c>
      <c r="L64" s="231"/>
    </row>
    <row r="65" spans="1:12" s="71" customFormat="1" ht="13.2" x14ac:dyDescent="0.25">
      <c r="A65" s="73">
        <v>1</v>
      </c>
      <c r="B65" s="234">
        <v>2</v>
      </c>
      <c r="C65" s="235"/>
      <c r="D65" s="73">
        <v>3</v>
      </c>
      <c r="E65" s="73">
        <v>4</v>
      </c>
      <c r="F65" s="73" t="s">
        <v>114</v>
      </c>
      <c r="G65" s="73">
        <v>6</v>
      </c>
      <c r="H65" s="73">
        <v>7</v>
      </c>
      <c r="I65" s="73">
        <v>8</v>
      </c>
      <c r="J65" s="73">
        <v>9</v>
      </c>
      <c r="K65" s="73">
        <v>10</v>
      </c>
      <c r="L65" s="73">
        <v>11</v>
      </c>
    </row>
    <row r="66" spans="1:12" s="71" customFormat="1" ht="112.95" customHeight="1" x14ac:dyDescent="0.25">
      <c r="A66" s="83"/>
      <c r="B66" s="237" t="s">
        <v>115</v>
      </c>
      <c r="C66" s="238"/>
      <c r="D66" s="83">
        <v>25</v>
      </c>
      <c r="E66" s="88">
        <v>5200</v>
      </c>
      <c r="F66" s="88">
        <f>D66*E66</f>
        <v>130000</v>
      </c>
      <c r="G66" s="88"/>
      <c r="H66" s="88">
        <f>F66</f>
        <v>130000</v>
      </c>
      <c r="I66" s="83"/>
      <c r="J66" s="83"/>
      <c r="K66" s="83"/>
      <c r="L66" s="83"/>
    </row>
    <row r="67" spans="1:12" s="71" customFormat="1" ht="13.2" x14ac:dyDescent="0.25">
      <c r="A67" s="228" t="s">
        <v>116</v>
      </c>
      <c r="B67" s="229"/>
      <c r="C67" s="230"/>
      <c r="D67" s="75" t="s">
        <v>1</v>
      </c>
      <c r="E67" s="75" t="s">
        <v>1</v>
      </c>
      <c r="F67" s="89">
        <f>SUM(F66)</f>
        <v>130000</v>
      </c>
      <c r="G67" s="89">
        <f>G66</f>
        <v>0</v>
      </c>
      <c r="H67" s="89">
        <f>H66</f>
        <v>130000</v>
      </c>
      <c r="I67" s="83"/>
      <c r="J67" s="83"/>
      <c r="K67" s="83"/>
      <c r="L67" s="83"/>
    </row>
    <row r="68" spans="1:12" s="71" customFormat="1" ht="13.2" x14ac:dyDescent="0.25"/>
    <row r="69" spans="1:12" s="71" customFormat="1" ht="13.2" x14ac:dyDescent="0.25"/>
    <row r="70" spans="1:12" s="71" customFormat="1" ht="13.2" x14ac:dyDescent="0.25"/>
    <row r="71" spans="1:12" s="71" customFormat="1" ht="13.2" x14ac:dyDescent="0.25"/>
    <row r="72" spans="1:12" s="71" customFormat="1" ht="13.2" x14ac:dyDescent="0.25"/>
    <row r="73" spans="1:12" s="71" customFormat="1" ht="13.2" x14ac:dyDescent="0.25"/>
    <row r="74" spans="1:12" s="71" customFormat="1" ht="13.2" x14ac:dyDescent="0.25"/>
    <row r="75" spans="1:12" s="71" customFormat="1" ht="13.2" x14ac:dyDescent="0.25"/>
    <row r="76" spans="1:12" s="71" customFormat="1" ht="13.2" x14ac:dyDescent="0.25"/>
    <row r="77" spans="1:12" s="71" customFormat="1" ht="13.2" x14ac:dyDescent="0.25"/>
    <row r="78" spans="1:12" s="71" customFormat="1" ht="13.2" x14ac:dyDescent="0.25"/>
    <row r="79" spans="1:12" s="71" customFormat="1" ht="13.2" x14ac:dyDescent="0.25"/>
    <row r="80" spans="1:12" s="71" customFormat="1" ht="13.2" x14ac:dyDescent="0.25"/>
    <row r="81" s="71" customFormat="1" ht="13.2" x14ac:dyDescent="0.25"/>
    <row r="82" s="71" customFormat="1" ht="13.2" x14ac:dyDescent="0.25"/>
    <row r="83" s="71" customFormat="1" ht="13.2" x14ac:dyDescent="0.25"/>
    <row r="84" s="71" customFormat="1" ht="13.2" x14ac:dyDescent="0.25"/>
    <row r="85" s="71" customFormat="1" ht="13.2" x14ac:dyDescent="0.25"/>
    <row r="86" s="71" customFormat="1" ht="13.2" x14ac:dyDescent="0.25"/>
    <row r="87" s="71" customFormat="1" ht="13.2" x14ac:dyDescent="0.25"/>
    <row r="88" s="71" customFormat="1" ht="13.2" x14ac:dyDescent="0.25"/>
    <row r="89" s="71" customFormat="1" ht="13.2" x14ac:dyDescent="0.25"/>
    <row r="90" s="71" customFormat="1" ht="13.2" x14ac:dyDescent="0.25"/>
    <row r="91" s="71" customFormat="1" ht="13.2" x14ac:dyDescent="0.25"/>
    <row r="92" s="71" customFormat="1" ht="13.2" x14ac:dyDescent="0.25"/>
    <row r="93" s="71" customFormat="1" ht="13.2" x14ac:dyDescent="0.25"/>
    <row r="94" s="71" customFormat="1" ht="13.2" x14ac:dyDescent="0.25"/>
    <row r="95" s="71" customFormat="1" ht="13.2" x14ac:dyDescent="0.25"/>
    <row r="96" s="71" customFormat="1" ht="13.2" x14ac:dyDescent="0.25"/>
    <row r="97" s="71" customFormat="1" ht="13.2" x14ac:dyDescent="0.25"/>
    <row r="98" s="71" customFormat="1" ht="13.2" x14ac:dyDescent="0.25"/>
    <row r="99" s="71" customFormat="1" ht="13.2" x14ac:dyDescent="0.25"/>
    <row r="100" s="71" customFormat="1" ht="13.2" x14ac:dyDescent="0.25"/>
    <row r="101" s="71" customFormat="1" ht="13.2" x14ac:dyDescent="0.25"/>
    <row r="102" s="71" customFormat="1" ht="13.2" x14ac:dyDescent="0.25"/>
    <row r="103" s="71" customFormat="1" ht="13.2" x14ac:dyDescent="0.25"/>
    <row r="104" s="71" customFormat="1" ht="13.2" x14ac:dyDescent="0.25"/>
    <row r="105" s="71" customFormat="1" ht="13.2" x14ac:dyDescent="0.25"/>
    <row r="106" s="71" customFormat="1" ht="13.2" x14ac:dyDescent="0.25"/>
    <row r="107" s="71" customFormat="1" ht="13.2" x14ac:dyDescent="0.25"/>
    <row r="108" s="71" customFormat="1" ht="13.2" x14ac:dyDescent="0.25"/>
    <row r="109" s="71" customFormat="1" ht="13.2" x14ac:dyDescent="0.25"/>
    <row r="110" s="71" customFormat="1" ht="13.2" x14ac:dyDescent="0.25"/>
    <row r="111" s="71" customFormat="1" ht="13.2" x14ac:dyDescent="0.25"/>
    <row r="112" s="71" customFormat="1" ht="13.2" x14ac:dyDescent="0.25"/>
    <row r="113" s="71" customFormat="1" ht="13.2" x14ac:dyDescent="0.25"/>
    <row r="114" s="71" customFormat="1" ht="13.2" x14ac:dyDescent="0.25"/>
    <row r="115" s="71" customFormat="1" ht="13.2" x14ac:dyDescent="0.25"/>
    <row r="116" s="71" customFormat="1" ht="13.2" x14ac:dyDescent="0.25"/>
    <row r="117" s="71" customFormat="1" ht="13.2" x14ac:dyDescent="0.25"/>
    <row r="118" s="71" customFormat="1" ht="13.2" x14ac:dyDescent="0.25"/>
    <row r="119" s="71" customFormat="1" ht="13.2" x14ac:dyDescent="0.25"/>
    <row r="120" s="71" customFormat="1" ht="13.2" x14ac:dyDescent="0.25"/>
    <row r="121" s="71" customFormat="1" ht="13.2" x14ac:dyDescent="0.25"/>
    <row r="122" s="71" customFormat="1" ht="13.2" x14ac:dyDescent="0.25"/>
    <row r="123" s="71" customFormat="1" ht="13.2" x14ac:dyDescent="0.25"/>
    <row r="124" s="71" customFormat="1" ht="13.2" x14ac:dyDescent="0.25"/>
    <row r="125" s="71" customFormat="1" ht="13.2" x14ac:dyDescent="0.25"/>
    <row r="126" s="71" customFormat="1" ht="13.2" x14ac:dyDescent="0.25"/>
    <row r="127" s="71" customFormat="1" ht="13.2" x14ac:dyDescent="0.25"/>
    <row r="128" s="71" customFormat="1" ht="13.2" x14ac:dyDescent="0.25"/>
    <row r="129" s="71" customFormat="1" ht="13.2" x14ac:dyDescent="0.25"/>
    <row r="130" s="71" customFormat="1" ht="13.2" x14ac:dyDescent="0.25"/>
    <row r="131" s="71" customFormat="1" ht="13.2" x14ac:dyDescent="0.25"/>
    <row r="132" s="71" customFormat="1" ht="13.2" x14ac:dyDescent="0.25"/>
    <row r="133" s="71" customFormat="1" ht="13.2" x14ac:dyDescent="0.25"/>
    <row r="134" s="71" customFormat="1" ht="13.2" x14ac:dyDescent="0.25"/>
    <row r="135" s="71" customFormat="1" ht="13.2" x14ac:dyDescent="0.25"/>
    <row r="136" s="71" customFormat="1" ht="13.2" x14ac:dyDescent="0.25"/>
    <row r="137" s="71" customFormat="1" ht="13.2" x14ac:dyDescent="0.25"/>
    <row r="138" s="71" customFormat="1" ht="13.2" x14ac:dyDescent="0.25"/>
    <row r="139" s="71" customFormat="1" ht="13.2" x14ac:dyDescent="0.25"/>
    <row r="140" s="71" customFormat="1" ht="13.2" x14ac:dyDescent="0.25"/>
    <row r="141" s="71" customFormat="1" ht="13.2" x14ac:dyDescent="0.25"/>
    <row r="142" s="71" customFormat="1" ht="13.2" x14ac:dyDescent="0.25"/>
    <row r="143" s="71" customFormat="1" ht="13.2" x14ac:dyDescent="0.25"/>
    <row r="144" s="71" customFormat="1" ht="13.2" x14ac:dyDescent="0.25"/>
    <row r="145" s="71" customFormat="1" ht="13.2" x14ac:dyDescent="0.25"/>
    <row r="146" s="71" customFormat="1" ht="13.2" x14ac:dyDescent="0.25"/>
    <row r="147" s="71" customFormat="1" ht="13.2" x14ac:dyDescent="0.25"/>
    <row r="148" s="71" customFormat="1" ht="13.2" x14ac:dyDescent="0.25"/>
    <row r="149" s="71" customFormat="1" ht="13.2" x14ac:dyDescent="0.25"/>
    <row r="150" s="71" customFormat="1" ht="13.2" x14ac:dyDescent="0.25"/>
    <row r="151" s="71" customFormat="1" ht="13.2" x14ac:dyDescent="0.25"/>
    <row r="152" s="71" customFormat="1" ht="13.2" x14ac:dyDescent="0.25"/>
    <row r="153" s="71" customFormat="1" ht="13.2" x14ac:dyDescent="0.25"/>
    <row r="154" s="71" customFormat="1" ht="13.2" x14ac:dyDescent="0.25"/>
    <row r="155" s="71" customFormat="1" ht="13.2" x14ac:dyDescent="0.25"/>
    <row r="156" s="71" customFormat="1" ht="13.2" x14ac:dyDescent="0.25"/>
    <row r="157" s="71" customFormat="1" ht="13.2" x14ac:dyDescent="0.25"/>
    <row r="158" s="71" customFormat="1" ht="13.2" x14ac:dyDescent="0.25"/>
    <row r="159" s="71" customFormat="1" ht="13.2" x14ac:dyDescent="0.25"/>
    <row r="160" s="71" customFormat="1" ht="13.2" x14ac:dyDescent="0.25"/>
    <row r="161" s="71" customFormat="1" ht="13.2" x14ac:dyDescent="0.25"/>
    <row r="162" s="71" customFormat="1" ht="13.2" x14ac:dyDescent="0.25"/>
    <row r="163" s="71" customFormat="1" ht="13.2" x14ac:dyDescent="0.25"/>
    <row r="164" s="71" customFormat="1" ht="13.2" x14ac:dyDescent="0.25"/>
    <row r="165" s="71" customFormat="1" ht="13.2" x14ac:dyDescent="0.25"/>
    <row r="166" s="71" customFormat="1" ht="13.2" x14ac:dyDescent="0.25"/>
    <row r="167" s="71" customFormat="1" ht="13.2" x14ac:dyDescent="0.25"/>
    <row r="168" s="71" customFormat="1" ht="13.2" x14ac:dyDescent="0.25"/>
    <row r="169" s="71" customFormat="1" ht="13.2" x14ac:dyDescent="0.25"/>
    <row r="170" s="71" customFormat="1" ht="13.2" x14ac:dyDescent="0.25"/>
    <row r="171" s="71" customFormat="1" ht="13.2" x14ac:dyDescent="0.25"/>
    <row r="172" s="71" customFormat="1" ht="13.2" x14ac:dyDescent="0.25"/>
    <row r="173" s="71" customFormat="1" ht="13.2" x14ac:dyDescent="0.25"/>
    <row r="174" s="71" customFormat="1" ht="13.2" x14ac:dyDescent="0.25"/>
    <row r="175" s="71" customFormat="1" ht="13.2" x14ac:dyDescent="0.25"/>
    <row r="176" s="71" customFormat="1" ht="13.2" x14ac:dyDescent="0.25"/>
    <row r="177" s="71" customFormat="1" ht="13.2" x14ac:dyDescent="0.25"/>
    <row r="178" s="71" customFormat="1" ht="13.2" x14ac:dyDescent="0.25"/>
    <row r="179" s="71" customFormat="1" ht="13.2" x14ac:dyDescent="0.25"/>
    <row r="180" s="71" customFormat="1" ht="13.2" x14ac:dyDescent="0.25"/>
    <row r="181" s="71" customFormat="1" ht="13.2" x14ac:dyDescent="0.25"/>
    <row r="182" s="71" customFormat="1" ht="13.2" x14ac:dyDescent="0.25"/>
    <row r="183" s="71" customFormat="1" ht="13.2" x14ac:dyDescent="0.25"/>
    <row r="184" s="71" customFormat="1" ht="13.2" x14ac:dyDescent="0.25"/>
    <row r="185" s="71" customFormat="1" ht="13.2" x14ac:dyDescent="0.25"/>
    <row r="186" s="71" customFormat="1" ht="13.2" x14ac:dyDescent="0.25"/>
    <row r="187" s="71" customFormat="1" ht="13.2" x14ac:dyDescent="0.25"/>
    <row r="188" s="71" customFormat="1" ht="13.2" x14ac:dyDescent="0.25"/>
    <row r="189" s="71" customFormat="1" ht="13.2" x14ac:dyDescent="0.25"/>
    <row r="190" s="71" customFormat="1" ht="13.2" x14ac:dyDescent="0.25"/>
    <row r="191" s="71" customFormat="1" ht="13.2" x14ac:dyDescent="0.25"/>
    <row r="192" s="71" customFormat="1" ht="13.2" x14ac:dyDescent="0.25"/>
    <row r="193" s="71" customFormat="1" ht="13.2" x14ac:dyDescent="0.25"/>
    <row r="194" s="71" customFormat="1" ht="13.2" x14ac:dyDescent="0.25"/>
    <row r="195" s="71" customFormat="1" ht="13.2" x14ac:dyDescent="0.25"/>
    <row r="196" s="71" customFormat="1" ht="13.2" x14ac:dyDescent="0.25"/>
    <row r="197" s="71" customFormat="1" ht="13.2" x14ac:dyDescent="0.25"/>
    <row r="198" s="71" customFormat="1" ht="13.2" x14ac:dyDescent="0.25"/>
    <row r="199" s="71" customFormat="1" ht="13.2" x14ac:dyDescent="0.25"/>
    <row r="200" s="71" customFormat="1" ht="13.2" x14ac:dyDescent="0.25"/>
    <row r="201" s="71" customFormat="1" ht="13.2" x14ac:dyDescent="0.25"/>
    <row r="202" s="71" customFormat="1" ht="13.2" x14ac:dyDescent="0.25"/>
    <row r="203" s="71" customFormat="1" ht="13.2" x14ac:dyDescent="0.25"/>
    <row r="204" s="71" customFormat="1" ht="13.2" x14ac:dyDescent="0.25"/>
    <row r="205" s="71" customFormat="1" ht="13.2" x14ac:dyDescent="0.25"/>
    <row r="206" s="71" customFormat="1" ht="13.2" x14ac:dyDescent="0.25"/>
    <row r="207" s="71" customFormat="1" ht="13.2" x14ac:dyDescent="0.25"/>
    <row r="208" s="71" customFormat="1" ht="13.2" x14ac:dyDescent="0.25"/>
    <row r="209" s="71" customFormat="1" ht="13.2" x14ac:dyDescent="0.25"/>
    <row r="210" s="71" customFormat="1" ht="13.2" x14ac:dyDescent="0.25"/>
    <row r="211" s="71" customFormat="1" ht="13.2" x14ac:dyDescent="0.25"/>
    <row r="212" s="71" customFormat="1" ht="13.2" x14ac:dyDescent="0.25"/>
    <row r="213" s="71" customFormat="1" ht="13.2" x14ac:dyDescent="0.25"/>
    <row r="214" s="71" customFormat="1" ht="13.2" x14ac:dyDescent="0.25"/>
    <row r="215" s="71" customFormat="1" ht="13.2" x14ac:dyDescent="0.25"/>
    <row r="216" s="71" customFormat="1" ht="13.2" x14ac:dyDescent="0.25"/>
    <row r="217" s="71" customFormat="1" ht="13.2" x14ac:dyDescent="0.25"/>
    <row r="218" s="71" customFormat="1" ht="13.2" x14ac:dyDescent="0.25"/>
    <row r="219" s="71" customFormat="1" ht="13.2" x14ac:dyDescent="0.25"/>
    <row r="220" s="71" customFormat="1" ht="13.2" x14ac:dyDescent="0.25"/>
    <row r="221" s="71" customFormat="1" ht="13.2" x14ac:dyDescent="0.25"/>
    <row r="222" s="71" customFormat="1" ht="13.2" x14ac:dyDescent="0.25"/>
    <row r="223" s="71" customFormat="1" ht="13.2" x14ac:dyDescent="0.25"/>
    <row r="224" s="71" customFormat="1" ht="13.2" x14ac:dyDescent="0.25"/>
    <row r="225" s="71" customFormat="1" ht="13.2" x14ac:dyDescent="0.25"/>
    <row r="226" s="71" customFormat="1" ht="13.2" x14ac:dyDescent="0.25"/>
    <row r="227" s="71" customFormat="1" ht="13.2" x14ac:dyDescent="0.25"/>
    <row r="228" s="71" customFormat="1" ht="13.2" x14ac:dyDescent="0.25"/>
    <row r="229" s="71" customFormat="1" ht="13.2" x14ac:dyDescent="0.25"/>
    <row r="230" s="71" customFormat="1" ht="13.2" x14ac:dyDescent="0.25"/>
    <row r="231" s="71" customFormat="1" ht="13.2" x14ac:dyDescent="0.25"/>
    <row r="232" s="71" customFormat="1" ht="13.2" x14ac:dyDescent="0.25"/>
  </sheetData>
  <mergeCells count="29">
    <mergeCell ref="A67:C67"/>
    <mergeCell ref="N19:N20"/>
    <mergeCell ref="A18:A20"/>
    <mergeCell ref="B18:B20"/>
    <mergeCell ref="C18:C20"/>
    <mergeCell ref="D19:D20"/>
    <mergeCell ref="E19:E20"/>
    <mergeCell ref="B65:C65"/>
    <mergeCell ref="F19:F20"/>
    <mergeCell ref="G19:G20"/>
    <mergeCell ref="A10:N10"/>
    <mergeCell ref="G12:N12"/>
    <mergeCell ref="A58:B58"/>
    <mergeCell ref="A60:N60"/>
    <mergeCell ref="G62:L62"/>
    <mergeCell ref="I18:N18"/>
    <mergeCell ref="A62:A64"/>
    <mergeCell ref="B62:C64"/>
    <mergeCell ref="D62:D64"/>
    <mergeCell ref="E62:E64"/>
    <mergeCell ref="F62:F64"/>
    <mergeCell ref="D18:G18"/>
    <mergeCell ref="I19:J19"/>
    <mergeCell ref="H18:H20"/>
    <mergeCell ref="B66:C66"/>
    <mergeCell ref="K19:M19"/>
    <mergeCell ref="I63:K63"/>
    <mergeCell ref="G63:H63"/>
    <mergeCell ref="L63:L64"/>
  </mergeCells>
  <pageMargins left="0.19685039370078741" right="0.19685039370078741" top="0.59055118110236227" bottom="0.19685039370078741" header="0.27559055118110237" footer="0.27559055118110237"/>
  <pageSetup paperSize="9" scale="75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4659260841701"/>
  </sheetPr>
  <dimension ref="A1:O194"/>
  <sheetViews>
    <sheetView topLeftCell="A13" workbookViewId="0">
      <selection activeCell="G29" sqref="G29:H29"/>
    </sheetView>
  </sheetViews>
  <sheetFormatPr defaultColWidth="1.109375" defaultRowHeight="15.6" x14ac:dyDescent="0.25"/>
  <cols>
    <col min="1" max="1" width="4" style="188" customWidth="1"/>
    <col min="2" max="2" width="17" style="188" customWidth="1"/>
    <col min="3" max="3" width="12.88671875" style="188" customWidth="1"/>
    <col min="4" max="4" width="11.109375" style="188" customWidth="1"/>
    <col min="5" max="5" width="12.88671875" style="188" customWidth="1"/>
    <col min="6" max="6" width="16.33203125" style="188" customWidth="1"/>
    <col min="7" max="8" width="7.33203125" style="188" customWidth="1"/>
    <col min="9" max="9" width="14" style="188" customWidth="1"/>
    <col min="10" max="10" width="9.5546875" style="188" customWidth="1"/>
    <col min="11" max="11" width="11.5546875" style="188" customWidth="1"/>
    <col min="12" max="12" width="10" style="188" customWidth="1"/>
    <col min="13" max="13" width="10.6640625" style="188" customWidth="1"/>
    <col min="14" max="14" width="10.5546875" style="188" customWidth="1"/>
    <col min="15" max="15" width="18.33203125" style="188" customWidth="1"/>
    <col min="16" max="16" width="13.5546875" style="188" customWidth="1"/>
    <col min="17" max="16384" width="1.109375" style="188"/>
  </cols>
  <sheetData>
    <row r="1" spans="1:15" s="60" customFormat="1" x14ac:dyDescent="0.25">
      <c r="O1" s="61" t="s">
        <v>48</v>
      </c>
    </row>
    <row r="2" spans="1:15" s="60" customFormat="1" x14ac:dyDescent="0.25">
      <c r="O2" s="61"/>
    </row>
    <row r="3" spans="1:15" s="60" customFormat="1" ht="10.199999999999999" x14ac:dyDescent="0.25">
      <c r="O3" s="62"/>
    </row>
    <row r="4" spans="1:15" s="63" customFormat="1" ht="10.199999999999999" x14ac:dyDescent="0.25">
      <c r="O4" s="62"/>
    </row>
    <row r="5" spans="1:15" s="64" customFormat="1" ht="12.75" customHeight="1" x14ac:dyDescent="0.25">
      <c r="O5" s="62"/>
    </row>
    <row r="7" spans="1:15" s="165" customFormat="1" x14ac:dyDescent="0.25">
      <c r="A7" s="430" t="s">
        <v>117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166" customFormat="1" ht="7.8" x14ac:dyDescent="0.25">
      <c r="A8" s="167"/>
      <c r="B8" s="167"/>
      <c r="C8" s="167"/>
      <c r="D8" s="167"/>
      <c r="E8" s="167"/>
      <c r="F8" s="167"/>
      <c r="G8" s="167"/>
      <c r="H8" s="167"/>
      <c r="I8" s="167"/>
    </row>
    <row r="9" spans="1:15" s="166" customFormat="1" ht="17.25" customHeight="1" x14ac:dyDescent="0.25">
      <c r="A9" s="165" t="s">
        <v>51</v>
      </c>
      <c r="B9" s="167"/>
      <c r="C9" s="167"/>
      <c r="D9" s="167"/>
      <c r="E9" s="167"/>
      <c r="F9" s="168"/>
      <c r="G9" s="168"/>
      <c r="H9" s="431" t="s">
        <v>360</v>
      </c>
      <c r="I9" s="431"/>
      <c r="J9" s="431"/>
      <c r="K9" s="431"/>
      <c r="L9" s="431"/>
      <c r="M9" s="431"/>
      <c r="N9" s="431"/>
      <c r="O9" s="431"/>
    </row>
    <row r="10" spans="1:15" s="166" customFormat="1" ht="15.75" customHeight="1" x14ac:dyDescent="0.25">
      <c r="A10" s="167"/>
      <c r="B10" s="167"/>
      <c r="C10" s="167"/>
      <c r="D10" s="167"/>
      <c r="E10" s="167"/>
      <c r="F10" s="167"/>
      <c r="G10" s="167"/>
      <c r="H10" s="167"/>
      <c r="I10" s="167"/>
    </row>
    <row r="11" spans="1:15" s="165" customFormat="1" x14ac:dyDescent="0.25">
      <c r="A11" s="169" t="s">
        <v>54</v>
      </c>
      <c r="B11" s="169"/>
      <c r="C11" s="169"/>
      <c r="D11" s="169"/>
      <c r="E11" s="169"/>
      <c r="F11" s="169"/>
      <c r="G11" s="169"/>
      <c r="H11" s="169"/>
      <c r="I11" s="169"/>
    </row>
    <row r="12" spans="1:15" s="170" customFormat="1" ht="13.2" x14ac:dyDescent="0.25"/>
    <row r="13" spans="1:15" x14ac:dyDescent="0.25">
      <c r="A13" s="169" t="s">
        <v>55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s="170" customFormat="1" ht="13.2" x14ac:dyDescent="0.25"/>
    <row r="15" spans="1:15" s="170" customFormat="1" ht="12.75" customHeight="1" x14ac:dyDescent="0.25">
      <c r="A15" s="232" t="s">
        <v>56</v>
      </c>
      <c r="B15" s="233" t="s">
        <v>57</v>
      </c>
      <c r="C15" s="232" t="s">
        <v>58</v>
      </c>
      <c r="D15" s="361" t="s">
        <v>59</v>
      </c>
      <c r="E15" s="361"/>
      <c r="F15" s="361"/>
      <c r="G15" s="361"/>
      <c r="H15" s="361"/>
      <c r="I15" s="232" t="s">
        <v>60</v>
      </c>
      <c r="J15" s="361" t="s">
        <v>61</v>
      </c>
      <c r="K15" s="361"/>
      <c r="L15" s="361"/>
      <c r="M15" s="361"/>
      <c r="N15" s="361"/>
      <c r="O15" s="361"/>
    </row>
    <row r="16" spans="1:15" s="170" customFormat="1" ht="76.5" customHeight="1" x14ac:dyDescent="0.25">
      <c r="A16" s="232"/>
      <c r="B16" s="233"/>
      <c r="C16" s="232"/>
      <c r="D16" s="232" t="s">
        <v>62</v>
      </c>
      <c r="E16" s="232" t="s">
        <v>63</v>
      </c>
      <c r="F16" s="232" t="s">
        <v>64</v>
      </c>
      <c r="G16" s="232" t="s">
        <v>118</v>
      </c>
      <c r="H16" s="232" t="s">
        <v>65</v>
      </c>
      <c r="I16" s="232"/>
      <c r="J16" s="232" t="s">
        <v>66</v>
      </c>
      <c r="K16" s="232"/>
      <c r="L16" s="239" t="s">
        <v>67</v>
      </c>
      <c r="M16" s="240"/>
      <c r="N16" s="241"/>
      <c r="O16" s="232" t="s">
        <v>68</v>
      </c>
    </row>
    <row r="17" spans="1:15" s="170" customFormat="1" ht="39" customHeight="1" x14ac:dyDescent="0.25">
      <c r="A17" s="232"/>
      <c r="B17" s="233"/>
      <c r="C17" s="232"/>
      <c r="D17" s="232"/>
      <c r="E17" s="232"/>
      <c r="F17" s="232"/>
      <c r="G17" s="232"/>
      <c r="H17" s="232"/>
      <c r="I17" s="232"/>
      <c r="J17" s="72" t="s">
        <v>69</v>
      </c>
      <c r="K17" s="72" t="s">
        <v>70</v>
      </c>
      <c r="L17" s="72" t="s">
        <v>71</v>
      </c>
      <c r="M17" s="72" t="s">
        <v>69</v>
      </c>
      <c r="N17" s="72" t="s">
        <v>70</v>
      </c>
      <c r="O17" s="232"/>
    </row>
    <row r="18" spans="1:15" s="170" customFormat="1" ht="13.2" x14ac:dyDescent="0.25">
      <c r="A18" s="75">
        <v>1</v>
      </c>
      <c r="B18" s="75">
        <v>2</v>
      </c>
      <c r="C18" s="75">
        <v>3</v>
      </c>
      <c r="D18" s="75" t="s">
        <v>72</v>
      </c>
      <c r="E18" s="75">
        <v>5</v>
      </c>
      <c r="F18" s="75">
        <v>6</v>
      </c>
      <c r="G18" s="75"/>
      <c r="H18" s="75">
        <v>7</v>
      </c>
      <c r="I18" s="75" t="s">
        <v>73</v>
      </c>
      <c r="J18" s="75">
        <v>9</v>
      </c>
      <c r="K18" s="75">
        <v>10</v>
      </c>
      <c r="L18" s="75">
        <v>11</v>
      </c>
      <c r="M18" s="75">
        <v>12</v>
      </c>
      <c r="N18" s="75">
        <v>13</v>
      </c>
      <c r="O18" s="75">
        <v>14</v>
      </c>
    </row>
    <row r="19" spans="1:15" s="170" customFormat="1" ht="33.75" customHeight="1" x14ac:dyDescent="0.25">
      <c r="A19" s="75">
        <v>1</v>
      </c>
      <c r="B19" s="171" t="s">
        <v>361</v>
      </c>
      <c r="C19" s="110">
        <v>15</v>
      </c>
      <c r="D19" s="172">
        <f>(E19+F19+H19)</f>
        <v>10437</v>
      </c>
      <c r="E19" s="172">
        <f>9940*1.05</f>
        <v>10437</v>
      </c>
      <c r="F19" s="173"/>
      <c r="G19" s="173"/>
      <c r="H19" s="79"/>
      <c r="I19" s="174">
        <f>D19*C19</f>
        <v>156555</v>
      </c>
      <c r="J19" s="174"/>
      <c r="K19" s="174"/>
      <c r="L19" s="175" t="s">
        <v>362</v>
      </c>
      <c r="M19" s="174"/>
      <c r="N19" s="174">
        <f>I19</f>
        <v>156555</v>
      </c>
      <c r="O19" s="176"/>
    </row>
    <row r="20" spans="1:15" s="170" customFormat="1" ht="18" customHeight="1" x14ac:dyDescent="0.25">
      <c r="A20" s="429" t="s">
        <v>108</v>
      </c>
      <c r="B20" s="429"/>
      <c r="C20" s="75" t="s">
        <v>1</v>
      </c>
      <c r="D20" s="177"/>
      <c r="E20" s="75" t="s">
        <v>1</v>
      </c>
      <c r="F20" s="75" t="s">
        <v>1</v>
      </c>
      <c r="G20" s="178"/>
      <c r="H20" s="178" t="s">
        <v>1</v>
      </c>
      <c r="I20" s="179">
        <f>I19</f>
        <v>156555</v>
      </c>
      <c r="J20" s="179"/>
      <c r="K20" s="179"/>
      <c r="L20" s="174"/>
      <c r="M20" s="174"/>
      <c r="N20" s="179">
        <f>N19</f>
        <v>156555</v>
      </c>
      <c r="O20" s="180"/>
    </row>
    <row r="21" spans="1:15" s="170" customFormat="1" ht="13.2" x14ac:dyDescent="0.25"/>
    <row r="22" spans="1:15" s="170" customFormat="1" ht="30" customHeight="1" x14ac:dyDescent="0.25">
      <c r="A22" s="432" t="s">
        <v>109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s="170" customFormat="1" ht="13.2" x14ac:dyDescent="0.25"/>
    <row r="24" spans="1:15" s="170" customFormat="1" ht="12" customHeight="1" x14ac:dyDescent="0.25">
      <c r="A24" s="232" t="s">
        <v>56</v>
      </c>
      <c r="B24" s="232" t="s">
        <v>110</v>
      </c>
      <c r="C24" s="232"/>
      <c r="D24" s="232" t="s">
        <v>111</v>
      </c>
      <c r="E24" s="232" t="s">
        <v>112</v>
      </c>
      <c r="F24" s="232" t="s">
        <v>113</v>
      </c>
      <c r="G24" s="72"/>
      <c r="H24" s="361" t="s">
        <v>61</v>
      </c>
      <c r="I24" s="361"/>
      <c r="J24" s="361"/>
      <c r="K24" s="361"/>
      <c r="L24" s="361"/>
      <c r="M24" s="361"/>
    </row>
    <row r="25" spans="1:15" s="170" customFormat="1" ht="103.5" customHeight="1" x14ac:dyDescent="0.25">
      <c r="A25" s="232"/>
      <c r="B25" s="232"/>
      <c r="C25" s="232"/>
      <c r="D25" s="232"/>
      <c r="E25" s="232"/>
      <c r="F25" s="232"/>
      <c r="G25" s="239" t="s">
        <v>66</v>
      </c>
      <c r="H25" s="240"/>
      <c r="I25" s="241"/>
      <c r="J25" s="239" t="s">
        <v>67</v>
      </c>
      <c r="K25" s="240"/>
      <c r="L25" s="241"/>
      <c r="M25" s="232" t="s">
        <v>68</v>
      </c>
    </row>
    <row r="26" spans="1:15" s="170" customFormat="1" ht="26.4" x14ac:dyDescent="0.25">
      <c r="A26" s="232"/>
      <c r="B26" s="232"/>
      <c r="C26" s="232"/>
      <c r="D26" s="232"/>
      <c r="E26" s="232"/>
      <c r="F26" s="232"/>
      <c r="G26" s="239" t="s">
        <v>69</v>
      </c>
      <c r="H26" s="241"/>
      <c r="I26" s="72" t="s">
        <v>70</v>
      </c>
      <c r="J26" s="181" t="s">
        <v>71</v>
      </c>
      <c r="K26" s="72" t="s">
        <v>69</v>
      </c>
      <c r="L26" s="72" t="s">
        <v>70</v>
      </c>
      <c r="M26" s="232"/>
    </row>
    <row r="27" spans="1:15" s="170" customFormat="1" ht="13.2" x14ac:dyDescent="0.25">
      <c r="A27" s="75">
        <v>1</v>
      </c>
      <c r="B27" s="362">
        <v>2</v>
      </c>
      <c r="C27" s="364"/>
      <c r="D27" s="75">
        <v>3</v>
      </c>
      <c r="E27" s="75">
        <v>4</v>
      </c>
      <c r="F27" s="75" t="s">
        <v>114</v>
      </c>
      <c r="G27" s="182">
        <v>6</v>
      </c>
      <c r="H27" s="183"/>
      <c r="I27" s="75">
        <v>7</v>
      </c>
      <c r="J27" s="75">
        <v>8</v>
      </c>
      <c r="K27" s="75">
        <v>9</v>
      </c>
      <c r="L27" s="75">
        <v>10</v>
      </c>
      <c r="M27" s="75">
        <v>11</v>
      </c>
    </row>
    <row r="28" spans="1:15" s="170" customFormat="1" ht="52.5" customHeight="1" x14ac:dyDescent="0.25">
      <c r="A28" s="176"/>
      <c r="B28" s="417"/>
      <c r="C28" s="419"/>
      <c r="D28" s="176"/>
      <c r="E28" s="184"/>
      <c r="F28" s="184"/>
      <c r="G28" s="433"/>
      <c r="H28" s="434"/>
      <c r="I28" s="184"/>
      <c r="J28" s="176"/>
      <c r="K28" s="176"/>
      <c r="L28" s="176"/>
      <c r="M28" s="176"/>
    </row>
    <row r="29" spans="1:15" s="185" customFormat="1" ht="13.2" x14ac:dyDescent="0.25">
      <c r="A29" s="437"/>
      <c r="B29" s="438"/>
      <c r="C29" s="439"/>
      <c r="D29" s="180"/>
      <c r="E29" s="180"/>
      <c r="F29" s="186"/>
      <c r="G29" s="435"/>
      <c r="H29" s="436"/>
      <c r="I29" s="186"/>
      <c r="J29" s="187"/>
      <c r="K29" s="187"/>
      <c r="L29" s="187"/>
      <c r="M29" s="187"/>
    </row>
    <row r="30" spans="1:15" s="170" customFormat="1" ht="13.2" x14ac:dyDescent="0.25"/>
    <row r="31" spans="1:15" s="170" customFormat="1" ht="13.2" x14ac:dyDescent="0.25"/>
    <row r="32" spans="1:15" s="170" customFormat="1" ht="13.2" x14ac:dyDescent="0.25"/>
    <row r="33" s="170" customFormat="1" ht="13.2" x14ac:dyDescent="0.25"/>
    <row r="34" s="170" customFormat="1" ht="13.2" x14ac:dyDescent="0.25"/>
    <row r="35" s="170" customFormat="1" ht="13.2" x14ac:dyDescent="0.25"/>
    <row r="36" s="170" customFormat="1" ht="13.2" x14ac:dyDescent="0.25"/>
    <row r="37" s="170" customFormat="1" ht="13.2" x14ac:dyDescent="0.25"/>
    <row r="38" s="170" customFormat="1" ht="13.2" x14ac:dyDescent="0.25"/>
    <row r="39" s="170" customFormat="1" ht="13.2" x14ac:dyDescent="0.25"/>
    <row r="40" s="170" customFormat="1" ht="13.2" x14ac:dyDescent="0.25"/>
    <row r="41" s="170" customFormat="1" ht="13.2" x14ac:dyDescent="0.25"/>
    <row r="42" s="170" customFormat="1" ht="13.2" x14ac:dyDescent="0.25"/>
    <row r="43" s="170" customFormat="1" ht="13.2" x14ac:dyDescent="0.25"/>
    <row r="44" s="170" customFormat="1" ht="13.2" x14ac:dyDescent="0.25"/>
    <row r="45" s="170" customFormat="1" ht="13.2" x14ac:dyDescent="0.25"/>
    <row r="46" s="170" customFormat="1" ht="13.2" x14ac:dyDescent="0.25"/>
    <row r="47" s="170" customFormat="1" ht="13.2" x14ac:dyDescent="0.25"/>
    <row r="48" s="170" customFormat="1" ht="13.2" x14ac:dyDescent="0.25"/>
    <row r="49" s="170" customFormat="1" ht="13.2" x14ac:dyDescent="0.25"/>
    <row r="50" s="170" customFormat="1" ht="13.2" x14ac:dyDescent="0.25"/>
    <row r="51" s="170" customFormat="1" ht="13.2" x14ac:dyDescent="0.25"/>
    <row r="52" s="170" customFormat="1" ht="13.2" x14ac:dyDescent="0.25"/>
    <row r="53" s="170" customFormat="1" ht="13.2" x14ac:dyDescent="0.25"/>
    <row r="54" s="170" customFormat="1" ht="13.2" x14ac:dyDescent="0.25"/>
    <row r="55" s="170" customFormat="1" ht="13.2" x14ac:dyDescent="0.25"/>
    <row r="56" s="170" customFormat="1" ht="13.2" x14ac:dyDescent="0.25"/>
    <row r="57" s="170" customFormat="1" ht="13.2" x14ac:dyDescent="0.25"/>
    <row r="58" s="170" customFormat="1" ht="13.2" x14ac:dyDescent="0.25"/>
    <row r="59" s="170" customFormat="1" ht="13.2" x14ac:dyDescent="0.25"/>
    <row r="60" s="170" customFormat="1" ht="13.2" x14ac:dyDescent="0.25"/>
    <row r="61" s="170" customFormat="1" ht="13.2" x14ac:dyDescent="0.25"/>
    <row r="62" s="170" customFormat="1" ht="13.2" x14ac:dyDescent="0.25"/>
    <row r="63" s="170" customFormat="1" ht="13.2" x14ac:dyDescent="0.25"/>
    <row r="64" s="170" customFormat="1" ht="13.2" x14ac:dyDescent="0.25"/>
    <row r="65" s="170" customFormat="1" ht="13.2" x14ac:dyDescent="0.25"/>
    <row r="66" s="170" customFormat="1" ht="13.2" x14ac:dyDescent="0.25"/>
    <row r="67" s="170" customFormat="1" ht="13.2" x14ac:dyDescent="0.25"/>
    <row r="68" s="170" customFormat="1" ht="13.2" x14ac:dyDescent="0.25"/>
    <row r="69" s="170" customFormat="1" ht="13.2" x14ac:dyDescent="0.25"/>
    <row r="70" s="170" customFormat="1" ht="13.2" x14ac:dyDescent="0.25"/>
    <row r="71" s="170" customFormat="1" ht="13.2" x14ac:dyDescent="0.25"/>
    <row r="72" s="170" customFormat="1" ht="13.2" x14ac:dyDescent="0.25"/>
    <row r="73" s="170" customFormat="1" ht="13.2" x14ac:dyDescent="0.25"/>
    <row r="74" s="170" customFormat="1" ht="13.2" x14ac:dyDescent="0.25"/>
    <row r="75" s="170" customFormat="1" ht="13.2" x14ac:dyDescent="0.25"/>
    <row r="76" s="170" customFormat="1" ht="13.2" x14ac:dyDescent="0.25"/>
    <row r="77" s="170" customFormat="1" ht="13.2" x14ac:dyDescent="0.25"/>
    <row r="78" s="170" customFormat="1" ht="13.2" x14ac:dyDescent="0.25"/>
    <row r="79" s="170" customFormat="1" ht="13.2" x14ac:dyDescent="0.25"/>
    <row r="80" s="170" customFormat="1" ht="13.2" x14ac:dyDescent="0.25"/>
    <row r="81" s="170" customFormat="1" ht="13.2" x14ac:dyDescent="0.25"/>
    <row r="82" s="170" customFormat="1" ht="13.2" x14ac:dyDescent="0.25"/>
    <row r="83" s="170" customFormat="1" ht="13.2" x14ac:dyDescent="0.25"/>
    <row r="84" s="170" customFormat="1" ht="13.2" x14ac:dyDescent="0.25"/>
    <row r="85" s="170" customFormat="1" ht="13.2" x14ac:dyDescent="0.25"/>
    <row r="86" s="170" customFormat="1" ht="13.2" x14ac:dyDescent="0.25"/>
    <row r="87" s="170" customFormat="1" ht="13.2" x14ac:dyDescent="0.25"/>
    <row r="88" s="170" customFormat="1" ht="13.2" x14ac:dyDescent="0.25"/>
    <row r="89" s="170" customFormat="1" ht="13.2" x14ac:dyDescent="0.25"/>
    <row r="90" s="170" customFormat="1" ht="13.2" x14ac:dyDescent="0.25"/>
    <row r="91" s="170" customFormat="1" ht="13.2" x14ac:dyDescent="0.25"/>
    <row r="92" s="170" customFormat="1" ht="13.2" x14ac:dyDescent="0.25"/>
    <row r="93" s="170" customFormat="1" ht="13.2" x14ac:dyDescent="0.25"/>
    <row r="94" s="170" customFormat="1" ht="13.2" x14ac:dyDescent="0.25"/>
    <row r="95" s="170" customFormat="1" ht="13.2" x14ac:dyDescent="0.25"/>
    <row r="96" s="170" customFormat="1" ht="13.2" x14ac:dyDescent="0.25"/>
    <row r="97" s="170" customFormat="1" ht="13.2" x14ac:dyDescent="0.25"/>
    <row r="98" s="170" customFormat="1" ht="13.2" x14ac:dyDescent="0.25"/>
    <row r="99" s="170" customFormat="1" ht="13.2" x14ac:dyDescent="0.25"/>
    <row r="100" s="170" customFormat="1" ht="13.2" x14ac:dyDescent="0.25"/>
    <row r="101" s="170" customFormat="1" ht="13.2" x14ac:dyDescent="0.25"/>
    <row r="102" s="170" customFormat="1" ht="13.2" x14ac:dyDescent="0.25"/>
    <row r="103" s="170" customFormat="1" ht="13.2" x14ac:dyDescent="0.25"/>
    <row r="104" s="170" customFormat="1" ht="13.2" x14ac:dyDescent="0.25"/>
    <row r="105" s="170" customFormat="1" ht="13.2" x14ac:dyDescent="0.25"/>
    <row r="106" s="170" customFormat="1" ht="13.2" x14ac:dyDescent="0.25"/>
    <row r="107" s="170" customFormat="1" ht="13.2" x14ac:dyDescent="0.25"/>
    <row r="108" s="170" customFormat="1" ht="13.2" x14ac:dyDescent="0.25"/>
    <row r="109" s="170" customFormat="1" ht="13.2" x14ac:dyDescent="0.25"/>
    <row r="110" s="170" customFormat="1" ht="13.2" x14ac:dyDescent="0.25"/>
    <row r="111" s="170" customFormat="1" ht="13.2" x14ac:dyDescent="0.25"/>
    <row r="112" s="170" customFormat="1" ht="13.2" x14ac:dyDescent="0.25"/>
    <row r="113" s="170" customFormat="1" ht="13.2" x14ac:dyDescent="0.25"/>
    <row r="114" s="170" customFormat="1" ht="13.2" x14ac:dyDescent="0.25"/>
    <row r="115" s="170" customFormat="1" ht="13.2" x14ac:dyDescent="0.25"/>
    <row r="116" s="170" customFormat="1" ht="13.2" x14ac:dyDescent="0.25"/>
    <row r="117" s="170" customFormat="1" ht="13.2" x14ac:dyDescent="0.25"/>
    <row r="118" s="170" customFormat="1" ht="13.2" x14ac:dyDescent="0.25"/>
    <row r="119" s="170" customFormat="1" ht="13.2" x14ac:dyDescent="0.25"/>
    <row r="120" s="170" customFormat="1" ht="13.2" x14ac:dyDescent="0.25"/>
    <row r="121" s="170" customFormat="1" ht="13.2" x14ac:dyDescent="0.25"/>
    <row r="122" s="170" customFormat="1" ht="13.2" x14ac:dyDescent="0.25"/>
    <row r="123" s="170" customFormat="1" ht="13.2" x14ac:dyDescent="0.25"/>
    <row r="124" s="170" customFormat="1" ht="13.2" x14ac:dyDescent="0.25"/>
    <row r="125" s="170" customFormat="1" ht="13.2" x14ac:dyDescent="0.25"/>
    <row r="126" s="170" customFormat="1" ht="13.2" x14ac:dyDescent="0.25"/>
    <row r="127" s="170" customFormat="1" ht="13.2" x14ac:dyDescent="0.25"/>
    <row r="128" s="170" customFormat="1" ht="13.2" x14ac:dyDescent="0.25"/>
    <row r="129" s="170" customFormat="1" ht="13.2" x14ac:dyDescent="0.25"/>
    <row r="130" s="170" customFormat="1" ht="13.2" x14ac:dyDescent="0.25"/>
    <row r="131" s="170" customFormat="1" ht="13.2" x14ac:dyDescent="0.25"/>
    <row r="132" s="170" customFormat="1" ht="13.2" x14ac:dyDescent="0.25"/>
    <row r="133" s="170" customFormat="1" ht="13.2" x14ac:dyDescent="0.25"/>
    <row r="134" s="170" customFormat="1" ht="13.2" x14ac:dyDescent="0.25"/>
    <row r="135" s="170" customFormat="1" ht="13.2" x14ac:dyDescent="0.25"/>
    <row r="136" s="170" customFormat="1" ht="13.2" x14ac:dyDescent="0.25"/>
    <row r="137" s="170" customFormat="1" ht="13.2" x14ac:dyDescent="0.25"/>
    <row r="138" s="170" customFormat="1" ht="13.2" x14ac:dyDescent="0.25"/>
    <row r="139" s="170" customFormat="1" ht="13.2" x14ac:dyDescent="0.25"/>
    <row r="140" s="170" customFormat="1" ht="13.2" x14ac:dyDescent="0.25"/>
    <row r="141" s="170" customFormat="1" ht="13.2" x14ac:dyDescent="0.25"/>
    <row r="142" s="170" customFormat="1" ht="13.2" x14ac:dyDescent="0.25"/>
    <row r="143" s="170" customFormat="1" ht="13.2" x14ac:dyDescent="0.25"/>
    <row r="144" s="170" customFormat="1" ht="13.2" x14ac:dyDescent="0.25"/>
    <row r="145" s="170" customFormat="1" ht="13.2" x14ac:dyDescent="0.25"/>
    <row r="146" s="170" customFormat="1" ht="13.2" x14ac:dyDescent="0.25"/>
    <row r="147" s="170" customFormat="1" ht="13.2" x14ac:dyDescent="0.25"/>
    <row r="148" s="170" customFormat="1" ht="13.2" x14ac:dyDescent="0.25"/>
    <row r="149" s="170" customFormat="1" ht="13.2" x14ac:dyDescent="0.25"/>
    <row r="150" s="170" customFormat="1" ht="13.2" x14ac:dyDescent="0.25"/>
    <row r="151" s="170" customFormat="1" ht="13.2" x14ac:dyDescent="0.25"/>
    <row r="152" s="170" customFormat="1" ht="13.2" x14ac:dyDescent="0.25"/>
    <row r="153" s="170" customFormat="1" ht="13.2" x14ac:dyDescent="0.25"/>
    <row r="154" s="170" customFormat="1" ht="13.2" x14ac:dyDescent="0.25"/>
    <row r="155" s="170" customFormat="1" ht="13.2" x14ac:dyDescent="0.25"/>
    <row r="156" s="170" customFormat="1" ht="13.2" x14ac:dyDescent="0.25"/>
    <row r="157" s="170" customFormat="1" ht="13.2" x14ac:dyDescent="0.25"/>
    <row r="158" s="170" customFormat="1" ht="13.2" x14ac:dyDescent="0.25"/>
    <row r="159" s="170" customFormat="1" ht="13.2" x14ac:dyDescent="0.25"/>
    <row r="160" s="170" customFormat="1" ht="13.2" x14ac:dyDescent="0.25"/>
    <row r="161" s="170" customFormat="1" ht="13.2" x14ac:dyDescent="0.25"/>
    <row r="162" s="170" customFormat="1" ht="13.2" x14ac:dyDescent="0.25"/>
    <row r="163" s="170" customFormat="1" ht="13.2" x14ac:dyDescent="0.25"/>
    <row r="164" s="170" customFormat="1" ht="13.2" x14ac:dyDescent="0.25"/>
    <row r="165" s="170" customFormat="1" ht="13.2" x14ac:dyDescent="0.25"/>
    <row r="166" s="170" customFormat="1" ht="13.2" x14ac:dyDescent="0.25"/>
    <row r="167" s="170" customFormat="1" ht="13.2" x14ac:dyDescent="0.25"/>
    <row r="168" s="170" customFormat="1" ht="13.2" x14ac:dyDescent="0.25"/>
    <row r="169" s="170" customFormat="1" ht="13.2" x14ac:dyDescent="0.25"/>
    <row r="170" s="170" customFormat="1" ht="13.2" x14ac:dyDescent="0.25"/>
    <row r="171" s="170" customFormat="1" ht="13.2" x14ac:dyDescent="0.25"/>
    <row r="172" s="170" customFormat="1" ht="13.2" x14ac:dyDescent="0.25"/>
    <row r="173" s="170" customFormat="1" ht="13.2" x14ac:dyDescent="0.25"/>
    <row r="174" s="170" customFormat="1" ht="13.2" x14ac:dyDescent="0.25"/>
    <row r="175" s="170" customFormat="1" ht="13.2" x14ac:dyDescent="0.25"/>
    <row r="176" s="170" customFormat="1" ht="13.2" x14ac:dyDescent="0.25"/>
    <row r="177" s="170" customFormat="1" ht="13.2" x14ac:dyDescent="0.25"/>
    <row r="178" s="170" customFormat="1" ht="13.2" x14ac:dyDescent="0.25"/>
    <row r="179" s="170" customFormat="1" ht="13.2" x14ac:dyDescent="0.25"/>
    <row r="180" s="170" customFormat="1" ht="13.2" x14ac:dyDescent="0.25"/>
    <row r="181" s="170" customFormat="1" ht="13.2" x14ac:dyDescent="0.25"/>
    <row r="182" s="170" customFormat="1" ht="13.2" x14ac:dyDescent="0.25"/>
    <row r="183" s="170" customFormat="1" ht="13.2" x14ac:dyDescent="0.25"/>
    <row r="184" s="170" customFormat="1" ht="13.2" x14ac:dyDescent="0.25"/>
    <row r="185" s="170" customFormat="1" ht="13.2" x14ac:dyDescent="0.25"/>
    <row r="186" s="170" customFormat="1" ht="13.2" x14ac:dyDescent="0.25"/>
    <row r="187" s="170" customFormat="1" ht="13.2" x14ac:dyDescent="0.25"/>
    <row r="188" s="170" customFormat="1" ht="13.2" x14ac:dyDescent="0.25"/>
    <row r="189" s="170" customFormat="1" ht="13.2" x14ac:dyDescent="0.25"/>
    <row r="190" s="170" customFormat="1" ht="13.2" x14ac:dyDescent="0.25"/>
    <row r="191" s="170" customFormat="1" ht="13.2" x14ac:dyDescent="0.25"/>
    <row r="192" s="170" customFormat="1" ht="13.2" x14ac:dyDescent="0.25"/>
    <row r="193" s="170" customFormat="1" ht="13.2" x14ac:dyDescent="0.25"/>
    <row r="194" s="170" customFormat="1" ht="13.2" x14ac:dyDescent="0.25"/>
  </sheetData>
  <mergeCells count="33">
    <mergeCell ref="G28:H28"/>
    <mergeCell ref="G29:H29"/>
    <mergeCell ref="B27:C27"/>
    <mergeCell ref="B28:C28"/>
    <mergeCell ref="A29:C29"/>
    <mergeCell ref="J25:L25"/>
    <mergeCell ref="M25:M26"/>
    <mergeCell ref="F16:F17"/>
    <mergeCell ref="H16:H17"/>
    <mergeCell ref="J16:K16"/>
    <mergeCell ref="L16:N16"/>
    <mergeCell ref="G16:G17"/>
    <mergeCell ref="A22:O22"/>
    <mergeCell ref="A24:A26"/>
    <mergeCell ref="B24:C26"/>
    <mergeCell ref="D24:D26"/>
    <mergeCell ref="E24:E26"/>
    <mergeCell ref="F24:F26"/>
    <mergeCell ref="H24:M24"/>
    <mergeCell ref="G25:I25"/>
    <mergeCell ref="G26:H26"/>
    <mergeCell ref="D16:D17"/>
    <mergeCell ref="E16:E17"/>
    <mergeCell ref="O16:O17"/>
    <mergeCell ref="A20:B20"/>
    <mergeCell ref="A7:O7"/>
    <mergeCell ref="H9:O9"/>
    <mergeCell ref="A15:A17"/>
    <mergeCell ref="B15:B17"/>
    <mergeCell ref="C15:C17"/>
    <mergeCell ref="D15:H15"/>
    <mergeCell ref="I15:I17"/>
    <mergeCell ref="J15:O15"/>
  </mergeCells>
  <pageMargins left="0.59055118110236227" right="0.19685039370078741" top="0.59055118110236227" bottom="0.19685039370078741" header="0.27559055118110237" footer="0.27559055118110237"/>
  <pageSetup paperSize="9" scale="75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4659260841701"/>
    <pageSetUpPr fitToPage="1"/>
  </sheetPr>
  <dimension ref="A1:CE80"/>
  <sheetViews>
    <sheetView topLeftCell="A47" workbookViewId="0">
      <selection activeCell="CA78" sqref="CA78"/>
    </sheetView>
  </sheetViews>
  <sheetFormatPr defaultColWidth="1.109375" defaultRowHeight="13.2" x14ac:dyDescent="0.25"/>
  <cols>
    <col min="1" max="1" width="5.44140625" style="170" customWidth="1"/>
    <col min="2" max="54" width="1.109375" style="170"/>
    <col min="55" max="55" width="1.88671875" style="170" customWidth="1"/>
    <col min="56" max="77" width="1.109375" style="170"/>
    <col min="78" max="79" width="13.33203125" style="170" customWidth="1"/>
    <col min="80" max="80" width="9.109375" style="170" customWidth="1"/>
    <col min="81" max="81" width="9.6640625" style="170" customWidth="1"/>
    <col min="82" max="82" width="10.88671875" style="170" customWidth="1"/>
    <col min="83" max="83" width="19.6640625" style="170" customWidth="1"/>
    <col min="84" max="16384" width="1.109375" style="170"/>
  </cols>
  <sheetData>
    <row r="1" spans="1:83" s="189" customFormat="1" ht="13.8" x14ac:dyDescent="0.25">
      <c r="A1" s="190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</row>
    <row r="2" spans="1:83" s="191" customFormat="1" ht="15" customHeight="1" x14ac:dyDescent="0.25"/>
    <row r="3" spans="1:83" s="191" customFormat="1" ht="16.5" customHeight="1" x14ac:dyDescent="0.25">
      <c r="A3" s="365" t="s">
        <v>56</v>
      </c>
      <c r="B3" s="365" t="s">
        <v>110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7"/>
      <c r="AG3" s="365" t="s">
        <v>121</v>
      </c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7"/>
      <c r="AU3" s="365" t="s">
        <v>111</v>
      </c>
      <c r="AV3" s="366"/>
      <c r="AW3" s="366"/>
      <c r="AX3" s="366"/>
      <c r="AY3" s="366"/>
      <c r="AZ3" s="366"/>
      <c r="BA3" s="366"/>
      <c r="BB3" s="366"/>
      <c r="BC3" s="367"/>
      <c r="BD3" s="365" t="s">
        <v>122</v>
      </c>
      <c r="BE3" s="366"/>
      <c r="BF3" s="366"/>
      <c r="BG3" s="366"/>
      <c r="BH3" s="366"/>
      <c r="BI3" s="366"/>
      <c r="BJ3" s="366"/>
      <c r="BK3" s="366"/>
      <c r="BL3" s="367"/>
      <c r="BM3" s="365" t="s">
        <v>123</v>
      </c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7"/>
      <c r="BZ3" s="361" t="s">
        <v>61</v>
      </c>
      <c r="CA3" s="361"/>
      <c r="CB3" s="361"/>
      <c r="CC3" s="361"/>
      <c r="CD3" s="361"/>
      <c r="CE3" s="361"/>
    </row>
    <row r="4" spans="1:83" s="191" customFormat="1" ht="56.25" customHeight="1" x14ac:dyDescent="0.25">
      <c r="A4" s="368"/>
      <c r="B4" s="368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70"/>
      <c r="AG4" s="368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70"/>
      <c r="AU4" s="368"/>
      <c r="AV4" s="369"/>
      <c r="AW4" s="369"/>
      <c r="AX4" s="369"/>
      <c r="AY4" s="369"/>
      <c r="AZ4" s="369"/>
      <c r="BA4" s="369"/>
      <c r="BB4" s="369"/>
      <c r="BC4" s="370"/>
      <c r="BD4" s="368"/>
      <c r="BE4" s="369"/>
      <c r="BF4" s="369"/>
      <c r="BG4" s="369"/>
      <c r="BH4" s="369"/>
      <c r="BI4" s="369"/>
      <c r="BJ4" s="369"/>
      <c r="BK4" s="369"/>
      <c r="BL4" s="370"/>
      <c r="BM4" s="368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70"/>
      <c r="BZ4" s="232" t="s">
        <v>66</v>
      </c>
      <c r="CA4" s="232"/>
      <c r="CB4" s="239" t="s">
        <v>67</v>
      </c>
      <c r="CC4" s="240"/>
      <c r="CD4" s="241"/>
      <c r="CE4" s="384" t="s">
        <v>68</v>
      </c>
    </row>
    <row r="5" spans="1:83" s="191" customFormat="1" ht="14.25" customHeight="1" x14ac:dyDescent="0.25">
      <c r="A5" s="368"/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70"/>
      <c r="AG5" s="368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70"/>
      <c r="AU5" s="368"/>
      <c r="AV5" s="369"/>
      <c r="AW5" s="369"/>
      <c r="AX5" s="369"/>
      <c r="AY5" s="369"/>
      <c r="AZ5" s="369"/>
      <c r="BA5" s="369"/>
      <c r="BB5" s="369"/>
      <c r="BC5" s="370"/>
      <c r="BD5" s="368"/>
      <c r="BE5" s="369"/>
      <c r="BF5" s="369"/>
      <c r="BG5" s="369"/>
      <c r="BH5" s="369"/>
      <c r="BI5" s="369"/>
      <c r="BJ5" s="369"/>
      <c r="BK5" s="369"/>
      <c r="BL5" s="370"/>
      <c r="BM5" s="368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70"/>
      <c r="BZ5" s="232" t="s">
        <v>69</v>
      </c>
      <c r="CA5" s="232" t="s">
        <v>70</v>
      </c>
      <c r="CB5" s="384" t="s">
        <v>71</v>
      </c>
      <c r="CC5" s="232" t="s">
        <v>69</v>
      </c>
      <c r="CD5" s="232" t="s">
        <v>70</v>
      </c>
      <c r="CE5" s="385"/>
    </row>
    <row r="6" spans="1:83" s="191" customFormat="1" ht="16.5" customHeight="1" x14ac:dyDescent="0.25">
      <c r="A6" s="371"/>
      <c r="B6" s="371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3"/>
      <c r="AG6" s="371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3"/>
      <c r="AU6" s="371"/>
      <c r="AV6" s="372"/>
      <c r="AW6" s="372"/>
      <c r="AX6" s="372"/>
      <c r="AY6" s="372"/>
      <c r="AZ6" s="372"/>
      <c r="BA6" s="372"/>
      <c r="BB6" s="372"/>
      <c r="BC6" s="373"/>
      <c r="BD6" s="371"/>
      <c r="BE6" s="372"/>
      <c r="BF6" s="372"/>
      <c r="BG6" s="372"/>
      <c r="BH6" s="372"/>
      <c r="BI6" s="372"/>
      <c r="BJ6" s="372"/>
      <c r="BK6" s="372"/>
      <c r="BL6" s="373"/>
      <c r="BM6" s="371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3"/>
      <c r="BZ6" s="232"/>
      <c r="CA6" s="232"/>
      <c r="CB6" s="386"/>
      <c r="CC6" s="232"/>
      <c r="CD6" s="232"/>
      <c r="CE6" s="386"/>
    </row>
    <row r="7" spans="1:83" s="191" customFormat="1" ht="13.8" x14ac:dyDescent="0.25">
      <c r="A7" s="75">
        <v>1</v>
      </c>
      <c r="B7" s="361">
        <v>2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>
        <v>3</v>
      </c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>
        <v>4</v>
      </c>
      <c r="AV7" s="361"/>
      <c r="AW7" s="361"/>
      <c r="AX7" s="361"/>
      <c r="AY7" s="361"/>
      <c r="AZ7" s="361"/>
      <c r="BA7" s="361"/>
      <c r="BB7" s="361"/>
      <c r="BC7" s="361"/>
      <c r="BD7" s="361">
        <v>5</v>
      </c>
      <c r="BE7" s="361"/>
      <c r="BF7" s="361"/>
      <c r="BG7" s="361"/>
      <c r="BH7" s="361"/>
      <c r="BI7" s="361"/>
      <c r="BJ7" s="361"/>
      <c r="BK7" s="361"/>
      <c r="BL7" s="361"/>
      <c r="BM7" s="361" t="s">
        <v>124</v>
      </c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75">
        <v>7</v>
      </c>
      <c r="CA7" s="75">
        <v>8</v>
      </c>
      <c r="CB7" s="75">
        <v>9</v>
      </c>
      <c r="CC7" s="75">
        <v>10</v>
      </c>
      <c r="CD7" s="75">
        <v>11</v>
      </c>
      <c r="CE7" s="75">
        <v>12</v>
      </c>
    </row>
    <row r="8" spans="1:83" s="191" customFormat="1" ht="13.8" x14ac:dyDescent="0.25">
      <c r="A8" s="176"/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3"/>
      <c r="BY8" s="483"/>
      <c r="BZ8" s="176"/>
      <c r="CA8" s="184"/>
      <c r="CB8" s="176"/>
      <c r="CC8" s="176"/>
      <c r="CD8" s="176"/>
      <c r="CE8" s="176"/>
    </row>
    <row r="9" spans="1:83" s="189" customFormat="1" ht="13.8" x14ac:dyDescent="0.25">
      <c r="A9" s="437" t="s">
        <v>126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9"/>
      <c r="AG9" s="463" t="s">
        <v>1</v>
      </c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 t="s">
        <v>1</v>
      </c>
      <c r="AV9" s="463"/>
      <c r="AW9" s="463"/>
      <c r="AX9" s="463"/>
      <c r="AY9" s="463"/>
      <c r="AZ9" s="463"/>
      <c r="BA9" s="463"/>
      <c r="BB9" s="463"/>
      <c r="BC9" s="463"/>
      <c r="BD9" s="463" t="s">
        <v>1</v>
      </c>
      <c r="BE9" s="463"/>
      <c r="BF9" s="463"/>
      <c r="BG9" s="463"/>
      <c r="BH9" s="463"/>
      <c r="BI9" s="463"/>
      <c r="BJ9" s="463"/>
      <c r="BK9" s="463"/>
      <c r="BL9" s="463"/>
      <c r="BM9" s="484"/>
      <c r="BN9" s="484"/>
      <c r="BO9" s="484"/>
      <c r="BP9" s="484"/>
      <c r="BQ9" s="484"/>
      <c r="BR9" s="484"/>
      <c r="BS9" s="484"/>
      <c r="BT9" s="484"/>
      <c r="BU9" s="484"/>
      <c r="BV9" s="484"/>
      <c r="BW9" s="484"/>
      <c r="BX9" s="484"/>
      <c r="BY9" s="484"/>
      <c r="BZ9" s="187"/>
      <c r="CA9" s="186"/>
      <c r="CB9" s="187"/>
      <c r="CC9" s="187"/>
      <c r="CD9" s="187"/>
      <c r="CE9" s="187"/>
    </row>
    <row r="10" spans="1:83" s="191" customFormat="1" ht="15.75" customHeight="1" x14ac:dyDescent="0.25">
      <c r="A10" s="176">
        <v>1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176"/>
      <c r="CA10" s="184"/>
      <c r="CB10" s="176"/>
      <c r="CC10" s="176"/>
      <c r="CD10" s="176"/>
      <c r="CE10" s="176"/>
    </row>
    <row r="11" spans="1:83" s="191" customFormat="1" ht="13.8" x14ac:dyDescent="0.25">
      <c r="A11" s="437" t="s">
        <v>128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9"/>
      <c r="AG11" s="463" t="s">
        <v>1</v>
      </c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 t="s">
        <v>1</v>
      </c>
      <c r="AV11" s="463"/>
      <c r="AW11" s="463"/>
      <c r="AX11" s="463"/>
      <c r="AY11" s="463"/>
      <c r="AZ11" s="463"/>
      <c r="BA11" s="463"/>
      <c r="BB11" s="463"/>
      <c r="BC11" s="463"/>
      <c r="BD11" s="463" t="s">
        <v>1</v>
      </c>
      <c r="BE11" s="463"/>
      <c r="BF11" s="463"/>
      <c r="BG11" s="463"/>
      <c r="BH11" s="463"/>
      <c r="BI11" s="463"/>
      <c r="BJ11" s="463"/>
      <c r="BK11" s="463"/>
      <c r="BL11" s="463"/>
      <c r="BM11" s="484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187"/>
      <c r="CA11" s="193"/>
      <c r="CB11" s="176"/>
      <c r="CC11" s="176"/>
      <c r="CD11" s="176"/>
      <c r="CE11" s="176"/>
    </row>
    <row r="12" spans="1:83" s="191" customFormat="1" ht="15" customHeight="1" x14ac:dyDescent="0.25"/>
    <row r="13" spans="1:83" s="191" customFormat="1" ht="13.8" hidden="1" x14ac:dyDescent="0.25"/>
    <row r="14" spans="1:83" s="191" customFormat="1" ht="13.8" hidden="1" x14ac:dyDescent="0.25"/>
    <row r="15" spans="1:83" s="189" customFormat="1" ht="13.8" x14ac:dyDescent="0.25">
      <c r="A15" s="190" t="s">
        <v>129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</row>
    <row r="16" spans="1:83" s="191" customFormat="1" ht="15" customHeight="1" x14ac:dyDescent="0.25"/>
    <row r="17" spans="1:83" s="191" customFormat="1" ht="13.8" x14ac:dyDescent="0.25">
      <c r="A17" s="441" t="s">
        <v>56</v>
      </c>
      <c r="B17" s="374" t="s">
        <v>110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6"/>
      <c r="AG17" s="365" t="s">
        <v>130</v>
      </c>
      <c r="AH17" s="366"/>
      <c r="AI17" s="366"/>
      <c r="AJ17" s="366"/>
      <c r="AK17" s="366"/>
      <c r="AL17" s="366"/>
      <c r="AM17" s="366"/>
      <c r="AN17" s="366"/>
      <c r="AO17" s="366"/>
      <c r="AP17" s="366"/>
      <c r="AQ17" s="367"/>
      <c r="AR17" s="365" t="s">
        <v>131</v>
      </c>
      <c r="AS17" s="366"/>
      <c r="AT17" s="366"/>
      <c r="AU17" s="366"/>
      <c r="AV17" s="366"/>
      <c r="AW17" s="366"/>
      <c r="AX17" s="366"/>
      <c r="AY17" s="366"/>
      <c r="AZ17" s="366"/>
      <c r="BA17" s="367"/>
      <c r="BB17" s="365" t="s">
        <v>132</v>
      </c>
      <c r="BC17" s="366"/>
      <c r="BD17" s="366"/>
      <c r="BE17" s="366"/>
      <c r="BF17" s="366"/>
      <c r="BG17" s="366"/>
      <c r="BH17" s="366"/>
      <c r="BI17" s="366"/>
      <c r="BJ17" s="366"/>
      <c r="BK17" s="366"/>
      <c r="BL17" s="367"/>
      <c r="BM17" s="365" t="s">
        <v>113</v>
      </c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7"/>
      <c r="BZ17" s="361" t="s">
        <v>61</v>
      </c>
      <c r="CA17" s="361"/>
      <c r="CB17" s="361"/>
      <c r="CC17" s="361"/>
      <c r="CD17" s="361"/>
      <c r="CE17" s="361"/>
    </row>
    <row r="18" spans="1:83" s="191" customFormat="1" ht="77.25" customHeight="1" x14ac:dyDescent="0.25">
      <c r="A18" s="458"/>
      <c r="B18" s="377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9"/>
      <c r="AG18" s="368"/>
      <c r="AH18" s="369"/>
      <c r="AI18" s="369"/>
      <c r="AJ18" s="369"/>
      <c r="AK18" s="369"/>
      <c r="AL18" s="369"/>
      <c r="AM18" s="369"/>
      <c r="AN18" s="369"/>
      <c r="AO18" s="369"/>
      <c r="AP18" s="369"/>
      <c r="AQ18" s="370"/>
      <c r="AR18" s="368"/>
      <c r="AS18" s="369"/>
      <c r="AT18" s="369"/>
      <c r="AU18" s="369"/>
      <c r="AV18" s="369"/>
      <c r="AW18" s="369"/>
      <c r="AX18" s="369"/>
      <c r="AY18" s="369"/>
      <c r="AZ18" s="369"/>
      <c r="BA18" s="370"/>
      <c r="BB18" s="368"/>
      <c r="BC18" s="369"/>
      <c r="BD18" s="369"/>
      <c r="BE18" s="369"/>
      <c r="BF18" s="369"/>
      <c r="BG18" s="369"/>
      <c r="BH18" s="369"/>
      <c r="BI18" s="369"/>
      <c r="BJ18" s="369"/>
      <c r="BK18" s="369"/>
      <c r="BL18" s="370"/>
      <c r="BM18" s="368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70"/>
      <c r="BZ18" s="232" t="s">
        <v>66</v>
      </c>
      <c r="CA18" s="232"/>
      <c r="CB18" s="239" t="s">
        <v>67</v>
      </c>
      <c r="CC18" s="240"/>
      <c r="CD18" s="241"/>
      <c r="CE18" s="384" t="s">
        <v>68</v>
      </c>
    </row>
    <row r="19" spans="1:83" s="191" customFormat="1" ht="12.75" customHeight="1" x14ac:dyDescent="0.25">
      <c r="A19" s="458"/>
      <c r="B19" s="377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9"/>
      <c r="AG19" s="368"/>
      <c r="AH19" s="369"/>
      <c r="AI19" s="369"/>
      <c r="AJ19" s="369"/>
      <c r="AK19" s="369"/>
      <c r="AL19" s="369"/>
      <c r="AM19" s="369"/>
      <c r="AN19" s="369"/>
      <c r="AO19" s="369"/>
      <c r="AP19" s="369"/>
      <c r="AQ19" s="370"/>
      <c r="AR19" s="368"/>
      <c r="AS19" s="369"/>
      <c r="AT19" s="369"/>
      <c r="AU19" s="369"/>
      <c r="AV19" s="369"/>
      <c r="AW19" s="369"/>
      <c r="AX19" s="369"/>
      <c r="AY19" s="369"/>
      <c r="AZ19" s="369"/>
      <c r="BA19" s="370"/>
      <c r="BB19" s="368"/>
      <c r="BC19" s="369"/>
      <c r="BD19" s="369"/>
      <c r="BE19" s="369"/>
      <c r="BF19" s="369"/>
      <c r="BG19" s="369"/>
      <c r="BH19" s="369"/>
      <c r="BI19" s="369"/>
      <c r="BJ19" s="369"/>
      <c r="BK19" s="369"/>
      <c r="BL19" s="370"/>
      <c r="BM19" s="368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70"/>
      <c r="BZ19" s="232" t="s">
        <v>69</v>
      </c>
      <c r="CA19" s="232" t="s">
        <v>70</v>
      </c>
      <c r="CB19" s="384" t="s">
        <v>71</v>
      </c>
      <c r="CC19" s="232" t="s">
        <v>69</v>
      </c>
      <c r="CD19" s="232" t="s">
        <v>70</v>
      </c>
      <c r="CE19" s="385"/>
    </row>
    <row r="20" spans="1:83" s="191" customFormat="1" ht="12.75" customHeight="1" x14ac:dyDescent="0.25">
      <c r="A20" s="442"/>
      <c r="B20" s="380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2"/>
      <c r="AG20" s="371"/>
      <c r="AH20" s="372"/>
      <c r="AI20" s="372"/>
      <c r="AJ20" s="372"/>
      <c r="AK20" s="372"/>
      <c r="AL20" s="372"/>
      <c r="AM20" s="372"/>
      <c r="AN20" s="372"/>
      <c r="AO20" s="372"/>
      <c r="AP20" s="372"/>
      <c r="AQ20" s="373"/>
      <c r="AR20" s="371"/>
      <c r="AS20" s="372"/>
      <c r="AT20" s="372"/>
      <c r="AU20" s="372"/>
      <c r="AV20" s="372"/>
      <c r="AW20" s="372"/>
      <c r="AX20" s="372"/>
      <c r="AY20" s="372"/>
      <c r="AZ20" s="372"/>
      <c r="BA20" s="373"/>
      <c r="BB20" s="371"/>
      <c r="BC20" s="372"/>
      <c r="BD20" s="372"/>
      <c r="BE20" s="372"/>
      <c r="BF20" s="372"/>
      <c r="BG20" s="372"/>
      <c r="BH20" s="372"/>
      <c r="BI20" s="372"/>
      <c r="BJ20" s="372"/>
      <c r="BK20" s="372"/>
      <c r="BL20" s="373"/>
      <c r="BM20" s="371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3"/>
      <c r="BZ20" s="232"/>
      <c r="CA20" s="232"/>
      <c r="CB20" s="386"/>
      <c r="CC20" s="232"/>
      <c r="CD20" s="232"/>
      <c r="CE20" s="386"/>
    </row>
    <row r="21" spans="1:83" s="191" customFormat="1" ht="13.8" x14ac:dyDescent="0.25">
      <c r="A21" s="75">
        <v>1</v>
      </c>
      <c r="B21" s="361">
        <v>2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>
        <v>3</v>
      </c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>
        <v>4</v>
      </c>
      <c r="AS21" s="361"/>
      <c r="AT21" s="361"/>
      <c r="AU21" s="361"/>
      <c r="AV21" s="361"/>
      <c r="AW21" s="361"/>
      <c r="AX21" s="361"/>
      <c r="AY21" s="361"/>
      <c r="AZ21" s="361"/>
      <c r="BA21" s="361"/>
      <c r="BB21" s="361">
        <v>5</v>
      </c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 t="s">
        <v>124</v>
      </c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75">
        <v>7</v>
      </c>
      <c r="CA21" s="75">
        <v>8</v>
      </c>
      <c r="CB21" s="75">
        <v>9</v>
      </c>
      <c r="CC21" s="75">
        <v>10</v>
      </c>
      <c r="CD21" s="75">
        <v>11</v>
      </c>
      <c r="CE21" s="75">
        <v>12</v>
      </c>
    </row>
    <row r="22" spans="1:83" s="191" customFormat="1" ht="13.8" x14ac:dyDescent="0.25">
      <c r="A22" s="176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176"/>
      <c r="CA22" s="176"/>
      <c r="CB22" s="176"/>
      <c r="CC22" s="176"/>
      <c r="CD22" s="176"/>
      <c r="CE22" s="176"/>
    </row>
    <row r="23" spans="1:83" s="191" customFormat="1" ht="13.8" x14ac:dyDescent="0.25">
      <c r="A23" s="454" t="s">
        <v>116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6"/>
      <c r="AG23" s="361" t="s">
        <v>1</v>
      </c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 t="s">
        <v>1</v>
      </c>
      <c r="AS23" s="361"/>
      <c r="AT23" s="361"/>
      <c r="AU23" s="361"/>
      <c r="AV23" s="361"/>
      <c r="AW23" s="361"/>
      <c r="AX23" s="361"/>
      <c r="AY23" s="361"/>
      <c r="AZ23" s="361"/>
      <c r="BA23" s="361"/>
      <c r="BB23" s="361" t="s">
        <v>1</v>
      </c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176"/>
      <c r="CA23" s="176"/>
      <c r="CB23" s="176"/>
      <c r="CC23" s="176"/>
      <c r="CD23" s="176"/>
      <c r="CE23" s="176"/>
    </row>
    <row r="24" spans="1:83" s="191" customFormat="1" ht="13.8" x14ac:dyDescent="0.25"/>
    <row r="25" spans="1:83" s="191" customFormat="1" ht="13.8" x14ac:dyDescent="0.25">
      <c r="A25" s="190" t="s">
        <v>134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</row>
    <row r="26" spans="1:83" s="191" customFormat="1" ht="13.8" x14ac:dyDescent="0.25"/>
    <row r="27" spans="1:83" s="191" customFormat="1" ht="15.75" customHeight="1" x14ac:dyDescent="0.25">
      <c r="A27" s="441" t="s">
        <v>56</v>
      </c>
      <c r="B27" s="374" t="s">
        <v>110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6"/>
      <c r="AG27" s="365" t="s">
        <v>111</v>
      </c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7"/>
      <c r="BB27" s="365" t="s">
        <v>112</v>
      </c>
      <c r="BC27" s="366"/>
      <c r="BD27" s="366"/>
      <c r="BE27" s="366"/>
      <c r="BF27" s="366"/>
      <c r="BG27" s="366"/>
      <c r="BH27" s="366"/>
      <c r="BI27" s="366"/>
      <c r="BJ27" s="366"/>
      <c r="BK27" s="366"/>
      <c r="BL27" s="367"/>
      <c r="BM27" s="365" t="s">
        <v>113</v>
      </c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7"/>
      <c r="BZ27" s="361" t="s">
        <v>61</v>
      </c>
      <c r="CA27" s="361"/>
      <c r="CB27" s="361"/>
      <c r="CC27" s="361"/>
      <c r="CD27" s="361"/>
      <c r="CE27" s="361"/>
    </row>
    <row r="28" spans="1:83" s="191" customFormat="1" ht="58.95" customHeight="1" x14ac:dyDescent="0.25">
      <c r="A28" s="458"/>
      <c r="B28" s="377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9"/>
      <c r="AG28" s="368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70"/>
      <c r="BB28" s="368"/>
      <c r="BC28" s="369"/>
      <c r="BD28" s="369"/>
      <c r="BE28" s="369"/>
      <c r="BF28" s="369"/>
      <c r="BG28" s="369"/>
      <c r="BH28" s="369"/>
      <c r="BI28" s="369"/>
      <c r="BJ28" s="369"/>
      <c r="BK28" s="369"/>
      <c r="BL28" s="370"/>
      <c r="BM28" s="368"/>
      <c r="BN28" s="369"/>
      <c r="BO28" s="369"/>
      <c r="BP28" s="369"/>
      <c r="BQ28" s="369"/>
      <c r="BR28" s="369"/>
      <c r="BS28" s="369"/>
      <c r="BT28" s="369"/>
      <c r="BU28" s="369"/>
      <c r="BV28" s="369"/>
      <c r="BW28" s="369"/>
      <c r="BX28" s="369"/>
      <c r="BY28" s="370"/>
      <c r="BZ28" s="232" t="s">
        <v>66</v>
      </c>
      <c r="CA28" s="232"/>
      <c r="CB28" s="239" t="s">
        <v>67</v>
      </c>
      <c r="CC28" s="240"/>
      <c r="CD28" s="241"/>
      <c r="CE28" s="384" t="s">
        <v>68</v>
      </c>
    </row>
    <row r="29" spans="1:83" s="191" customFormat="1" ht="15.75" customHeight="1" x14ac:dyDescent="0.25">
      <c r="A29" s="458"/>
      <c r="B29" s="377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9"/>
      <c r="AG29" s="368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70"/>
      <c r="BB29" s="368"/>
      <c r="BC29" s="369"/>
      <c r="BD29" s="369"/>
      <c r="BE29" s="369"/>
      <c r="BF29" s="369"/>
      <c r="BG29" s="369"/>
      <c r="BH29" s="369"/>
      <c r="BI29" s="369"/>
      <c r="BJ29" s="369"/>
      <c r="BK29" s="369"/>
      <c r="BL29" s="370"/>
      <c r="BM29" s="368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70"/>
      <c r="BZ29" s="232" t="s">
        <v>69</v>
      </c>
      <c r="CA29" s="232" t="s">
        <v>70</v>
      </c>
      <c r="CB29" s="384" t="s">
        <v>71</v>
      </c>
      <c r="CC29" s="232" t="s">
        <v>69</v>
      </c>
      <c r="CD29" s="232" t="s">
        <v>70</v>
      </c>
      <c r="CE29" s="385"/>
    </row>
    <row r="30" spans="1:83" s="191" customFormat="1" ht="11.25" customHeight="1" x14ac:dyDescent="0.25">
      <c r="A30" s="442"/>
      <c r="B30" s="380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2"/>
      <c r="AG30" s="371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3"/>
      <c r="BB30" s="371"/>
      <c r="BC30" s="372"/>
      <c r="BD30" s="372"/>
      <c r="BE30" s="372"/>
      <c r="BF30" s="372"/>
      <c r="BG30" s="372"/>
      <c r="BH30" s="372"/>
      <c r="BI30" s="372"/>
      <c r="BJ30" s="372"/>
      <c r="BK30" s="372"/>
      <c r="BL30" s="373"/>
      <c r="BM30" s="371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3"/>
      <c r="BZ30" s="232"/>
      <c r="CA30" s="232"/>
      <c r="CB30" s="386"/>
      <c r="CC30" s="232"/>
      <c r="CD30" s="232"/>
      <c r="CE30" s="386"/>
    </row>
    <row r="31" spans="1:83" s="191" customFormat="1" ht="13.8" x14ac:dyDescent="0.25">
      <c r="A31" s="75">
        <v>1</v>
      </c>
      <c r="B31" s="361">
        <v>2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2">
        <v>3</v>
      </c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4"/>
      <c r="BB31" s="361">
        <v>4</v>
      </c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 t="s">
        <v>114</v>
      </c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75">
        <v>6</v>
      </c>
      <c r="CA31" s="75">
        <v>7</v>
      </c>
      <c r="CB31" s="75">
        <v>8</v>
      </c>
      <c r="CC31" s="75">
        <v>9</v>
      </c>
      <c r="CD31" s="75">
        <v>10</v>
      </c>
      <c r="CE31" s="75">
        <v>11</v>
      </c>
    </row>
    <row r="32" spans="1:83" s="191" customFormat="1" ht="19.95" customHeight="1" x14ac:dyDescent="0.25">
      <c r="A32" s="176">
        <v>1</v>
      </c>
      <c r="B32" s="417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  <c r="AG32" s="362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4"/>
      <c r="BB32" s="479"/>
      <c r="BC32" s="480"/>
      <c r="BD32" s="480"/>
      <c r="BE32" s="480"/>
      <c r="BF32" s="480"/>
      <c r="BG32" s="480"/>
      <c r="BH32" s="480"/>
      <c r="BI32" s="480"/>
      <c r="BJ32" s="480"/>
      <c r="BK32" s="480"/>
      <c r="BL32" s="481"/>
      <c r="BM32" s="476"/>
      <c r="BN32" s="477"/>
      <c r="BO32" s="477"/>
      <c r="BP32" s="477"/>
      <c r="BQ32" s="477"/>
      <c r="BR32" s="477"/>
      <c r="BS32" s="477"/>
      <c r="BT32" s="477"/>
      <c r="BU32" s="477"/>
      <c r="BV32" s="477"/>
      <c r="BW32" s="477"/>
      <c r="BX32" s="477"/>
      <c r="BY32" s="478"/>
      <c r="BZ32" s="176"/>
      <c r="CA32" s="194"/>
      <c r="CB32" s="176"/>
      <c r="CC32" s="176"/>
      <c r="CD32" s="176"/>
      <c r="CE32" s="176"/>
    </row>
    <row r="33" spans="1:83" s="191" customFormat="1" ht="13.8" x14ac:dyDescent="0.25">
      <c r="A33" s="437" t="s">
        <v>128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9"/>
      <c r="AG33" s="492" t="s">
        <v>1</v>
      </c>
      <c r="AH33" s="493"/>
      <c r="AI33" s="493"/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4"/>
      <c r="BB33" s="463" t="s">
        <v>1</v>
      </c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187"/>
      <c r="CA33" s="193"/>
      <c r="CB33" s="187"/>
      <c r="CC33" s="187"/>
      <c r="CD33" s="187"/>
      <c r="CE33" s="187"/>
    </row>
    <row r="34" spans="1:83" s="191" customFormat="1" ht="13.8" x14ac:dyDescent="0.25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7"/>
      <c r="CA34" s="199"/>
      <c r="CB34" s="197"/>
      <c r="CC34" s="197"/>
      <c r="CD34" s="197"/>
      <c r="CE34" s="197"/>
    </row>
    <row r="35" spans="1:83" s="191" customFormat="1" ht="28.95" customHeight="1" x14ac:dyDescent="0.25">
      <c r="A35" s="482" t="s">
        <v>137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</row>
    <row r="36" spans="1:83" s="191" customFormat="1" ht="13.8" x14ac:dyDescent="0.25"/>
    <row r="37" spans="1:83" s="191" customFormat="1" ht="13.8" x14ac:dyDescent="0.25">
      <c r="A37" s="365" t="s">
        <v>56</v>
      </c>
      <c r="B37" s="365" t="s">
        <v>110</v>
      </c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7"/>
      <c r="AG37" s="365" t="s">
        <v>138</v>
      </c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7"/>
      <c r="AU37" s="365" t="s">
        <v>139</v>
      </c>
      <c r="AV37" s="366"/>
      <c r="AW37" s="366"/>
      <c r="AX37" s="366"/>
      <c r="AY37" s="366"/>
      <c r="AZ37" s="366"/>
      <c r="BA37" s="366"/>
      <c r="BB37" s="366"/>
      <c r="BC37" s="367"/>
      <c r="BD37" s="365" t="s">
        <v>122</v>
      </c>
      <c r="BE37" s="366"/>
      <c r="BF37" s="366"/>
      <c r="BG37" s="366"/>
      <c r="BH37" s="366"/>
      <c r="BI37" s="366"/>
      <c r="BJ37" s="366"/>
      <c r="BK37" s="366"/>
      <c r="BL37" s="367"/>
      <c r="BM37" s="365" t="s">
        <v>123</v>
      </c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7"/>
      <c r="BZ37" s="361" t="s">
        <v>61</v>
      </c>
      <c r="CA37" s="361"/>
      <c r="CB37" s="361"/>
      <c r="CC37" s="361"/>
      <c r="CD37" s="361"/>
      <c r="CE37" s="361"/>
    </row>
    <row r="38" spans="1:83" s="191" customFormat="1" ht="79.5" customHeight="1" x14ac:dyDescent="0.25">
      <c r="A38" s="368"/>
      <c r="B38" s="368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70"/>
      <c r="AG38" s="368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70"/>
      <c r="AU38" s="368"/>
      <c r="AV38" s="369"/>
      <c r="AW38" s="369"/>
      <c r="AX38" s="369"/>
      <c r="AY38" s="369"/>
      <c r="AZ38" s="369"/>
      <c r="BA38" s="369"/>
      <c r="BB38" s="369"/>
      <c r="BC38" s="370"/>
      <c r="BD38" s="368"/>
      <c r="BE38" s="369"/>
      <c r="BF38" s="369"/>
      <c r="BG38" s="369"/>
      <c r="BH38" s="369"/>
      <c r="BI38" s="369"/>
      <c r="BJ38" s="369"/>
      <c r="BK38" s="369"/>
      <c r="BL38" s="370"/>
      <c r="BM38" s="368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70"/>
      <c r="BZ38" s="232" t="s">
        <v>66</v>
      </c>
      <c r="CA38" s="232"/>
      <c r="CB38" s="239" t="s">
        <v>67</v>
      </c>
      <c r="CC38" s="240"/>
      <c r="CD38" s="241"/>
      <c r="CE38" s="384" t="s">
        <v>68</v>
      </c>
    </row>
    <row r="39" spans="1:83" s="191" customFormat="1" ht="15.75" customHeight="1" x14ac:dyDescent="0.25">
      <c r="A39" s="368"/>
      <c r="B39" s="368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70"/>
      <c r="AG39" s="368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70"/>
      <c r="AU39" s="368"/>
      <c r="AV39" s="369"/>
      <c r="AW39" s="369"/>
      <c r="AX39" s="369"/>
      <c r="AY39" s="369"/>
      <c r="AZ39" s="369"/>
      <c r="BA39" s="369"/>
      <c r="BB39" s="369"/>
      <c r="BC39" s="370"/>
      <c r="BD39" s="368"/>
      <c r="BE39" s="369"/>
      <c r="BF39" s="369"/>
      <c r="BG39" s="369"/>
      <c r="BH39" s="369"/>
      <c r="BI39" s="369"/>
      <c r="BJ39" s="369"/>
      <c r="BK39" s="369"/>
      <c r="BL39" s="370"/>
      <c r="BM39" s="368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70"/>
      <c r="BZ39" s="232" t="s">
        <v>69</v>
      </c>
      <c r="CA39" s="232" t="s">
        <v>70</v>
      </c>
      <c r="CB39" s="384" t="s">
        <v>71</v>
      </c>
      <c r="CC39" s="232" t="s">
        <v>69</v>
      </c>
      <c r="CD39" s="232" t="s">
        <v>70</v>
      </c>
      <c r="CE39" s="385"/>
    </row>
    <row r="40" spans="1:83" s="191" customFormat="1" ht="9" customHeight="1" x14ac:dyDescent="0.25">
      <c r="A40" s="371"/>
      <c r="B40" s="371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3"/>
      <c r="AG40" s="371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3"/>
      <c r="AU40" s="371"/>
      <c r="AV40" s="372"/>
      <c r="AW40" s="372"/>
      <c r="AX40" s="372"/>
      <c r="AY40" s="372"/>
      <c r="AZ40" s="372"/>
      <c r="BA40" s="372"/>
      <c r="BB40" s="372"/>
      <c r="BC40" s="373"/>
      <c r="BD40" s="371"/>
      <c r="BE40" s="372"/>
      <c r="BF40" s="372"/>
      <c r="BG40" s="372"/>
      <c r="BH40" s="372"/>
      <c r="BI40" s="372"/>
      <c r="BJ40" s="372"/>
      <c r="BK40" s="372"/>
      <c r="BL40" s="373"/>
      <c r="BM40" s="371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3"/>
      <c r="BZ40" s="232"/>
      <c r="CA40" s="232"/>
      <c r="CB40" s="386"/>
      <c r="CC40" s="232"/>
      <c r="CD40" s="232"/>
      <c r="CE40" s="386"/>
    </row>
    <row r="41" spans="1:83" s="191" customFormat="1" ht="13.8" x14ac:dyDescent="0.25">
      <c r="A41" s="75">
        <v>1</v>
      </c>
      <c r="B41" s="361">
        <v>2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>
        <v>3</v>
      </c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>
        <v>4</v>
      </c>
      <c r="AV41" s="361"/>
      <c r="AW41" s="361"/>
      <c r="AX41" s="361"/>
      <c r="AY41" s="361"/>
      <c r="AZ41" s="361"/>
      <c r="BA41" s="361"/>
      <c r="BB41" s="361"/>
      <c r="BC41" s="361"/>
      <c r="BD41" s="361">
        <v>5</v>
      </c>
      <c r="BE41" s="361"/>
      <c r="BF41" s="361"/>
      <c r="BG41" s="361"/>
      <c r="BH41" s="361"/>
      <c r="BI41" s="361"/>
      <c r="BJ41" s="361"/>
      <c r="BK41" s="361"/>
      <c r="BL41" s="361"/>
      <c r="BM41" s="361" t="s">
        <v>124</v>
      </c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75">
        <v>7</v>
      </c>
      <c r="CA41" s="75">
        <v>8</v>
      </c>
      <c r="CB41" s="75">
        <v>9</v>
      </c>
      <c r="CC41" s="75">
        <v>10</v>
      </c>
      <c r="CD41" s="75">
        <v>11</v>
      </c>
      <c r="CE41" s="75">
        <v>12</v>
      </c>
    </row>
    <row r="42" spans="1:83" s="191" customFormat="1" ht="13.8" x14ac:dyDescent="0.25">
      <c r="A42" s="176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  <c r="BS42" s="457"/>
      <c r="BT42" s="457"/>
      <c r="BU42" s="457"/>
      <c r="BV42" s="457"/>
      <c r="BW42" s="457"/>
      <c r="BX42" s="457"/>
      <c r="BY42" s="457"/>
      <c r="BZ42" s="176"/>
      <c r="CA42" s="176"/>
      <c r="CB42" s="176"/>
      <c r="CC42" s="176"/>
      <c r="CD42" s="176"/>
      <c r="CE42" s="176"/>
    </row>
    <row r="43" spans="1:83" s="191" customFormat="1" ht="13.8" x14ac:dyDescent="0.25">
      <c r="A43" s="176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176"/>
      <c r="CA43" s="176"/>
      <c r="CB43" s="176"/>
      <c r="CC43" s="176"/>
      <c r="CD43" s="176"/>
      <c r="CE43" s="176"/>
    </row>
    <row r="44" spans="1:83" s="191" customFormat="1" ht="13.8" x14ac:dyDescent="0.25">
      <c r="A44" s="176"/>
      <c r="B44" s="457" t="s">
        <v>140</v>
      </c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361" t="s">
        <v>1</v>
      </c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 t="s">
        <v>1</v>
      </c>
      <c r="AV44" s="361"/>
      <c r="AW44" s="361"/>
      <c r="AX44" s="361"/>
      <c r="AY44" s="361"/>
      <c r="AZ44" s="361"/>
      <c r="BA44" s="361"/>
      <c r="BB44" s="361"/>
      <c r="BC44" s="361"/>
      <c r="BD44" s="361" t="s">
        <v>1</v>
      </c>
      <c r="BE44" s="361"/>
      <c r="BF44" s="361"/>
      <c r="BG44" s="361"/>
      <c r="BH44" s="361"/>
      <c r="BI44" s="361"/>
      <c r="BJ44" s="361"/>
      <c r="BK44" s="361"/>
      <c r="BL44" s="361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176"/>
      <c r="CA44" s="176"/>
      <c r="CB44" s="176"/>
      <c r="CC44" s="176"/>
      <c r="CD44" s="176"/>
      <c r="CE44" s="176"/>
    </row>
    <row r="45" spans="1:83" s="191" customFormat="1" ht="13.8" x14ac:dyDescent="0.25"/>
    <row r="46" spans="1:83" s="191" customFormat="1" ht="13.8" x14ac:dyDescent="0.25"/>
    <row r="47" spans="1:83" s="189" customFormat="1" ht="13.8" x14ac:dyDescent="0.25">
      <c r="A47" s="474" t="s">
        <v>141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</row>
    <row r="48" spans="1:83" s="191" customFormat="1" ht="13.8" x14ac:dyDescent="0.25">
      <c r="A48" s="474" t="s">
        <v>142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  <c r="CA48" s="474"/>
      <c r="CB48" s="474"/>
      <c r="CC48" s="474"/>
      <c r="CD48" s="474"/>
      <c r="CE48" s="474"/>
    </row>
    <row r="49" spans="1:83" s="191" customFormat="1" ht="12.75" customHeight="1" x14ac:dyDescent="0.25"/>
    <row r="50" spans="1:83" s="191" customFormat="1" ht="13.8" x14ac:dyDescent="0.25">
      <c r="A50" s="441" t="s">
        <v>56</v>
      </c>
      <c r="B50" s="374" t="s">
        <v>143</v>
      </c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5"/>
      <c r="AX50" s="375"/>
      <c r="AY50" s="375"/>
      <c r="AZ50" s="375"/>
      <c r="BA50" s="376"/>
      <c r="BB50" s="365" t="s">
        <v>144</v>
      </c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7"/>
      <c r="BN50" s="365" t="s">
        <v>145</v>
      </c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7"/>
      <c r="BZ50" s="361" t="s">
        <v>61</v>
      </c>
      <c r="CA50" s="361"/>
      <c r="CB50" s="361"/>
      <c r="CC50" s="361"/>
      <c r="CD50" s="361"/>
      <c r="CE50" s="361"/>
    </row>
    <row r="51" spans="1:83" s="191" customFormat="1" ht="81.75" customHeight="1" x14ac:dyDescent="0.25">
      <c r="A51" s="458"/>
      <c r="B51" s="377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9"/>
      <c r="BB51" s="368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70"/>
      <c r="BN51" s="368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70"/>
      <c r="BZ51" s="232" t="s">
        <v>66</v>
      </c>
      <c r="CA51" s="232"/>
      <c r="CB51" s="239" t="s">
        <v>67</v>
      </c>
      <c r="CC51" s="240"/>
      <c r="CD51" s="241"/>
      <c r="CE51" s="384" t="s">
        <v>68</v>
      </c>
    </row>
    <row r="52" spans="1:83" s="191" customFormat="1" ht="12.75" customHeight="1" x14ac:dyDescent="0.25">
      <c r="A52" s="458"/>
      <c r="B52" s="377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9"/>
      <c r="BB52" s="368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70"/>
      <c r="BN52" s="368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70"/>
      <c r="BZ52" s="232" t="s">
        <v>69</v>
      </c>
      <c r="CA52" s="232" t="s">
        <v>70</v>
      </c>
      <c r="CB52" s="384" t="s">
        <v>71</v>
      </c>
      <c r="CC52" s="232" t="s">
        <v>69</v>
      </c>
      <c r="CD52" s="232" t="s">
        <v>70</v>
      </c>
      <c r="CE52" s="385"/>
    </row>
    <row r="53" spans="1:83" s="191" customFormat="1" ht="13.8" x14ac:dyDescent="0.25">
      <c r="A53" s="442"/>
      <c r="B53" s="380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2"/>
      <c r="BB53" s="371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3"/>
      <c r="BN53" s="371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3"/>
      <c r="BZ53" s="232"/>
      <c r="CA53" s="232"/>
      <c r="CB53" s="386"/>
      <c r="CC53" s="232"/>
      <c r="CD53" s="232"/>
      <c r="CE53" s="386"/>
    </row>
    <row r="54" spans="1:83" s="191" customFormat="1" ht="13.8" x14ac:dyDescent="0.25">
      <c r="A54" s="75">
        <v>1</v>
      </c>
      <c r="B54" s="361">
        <v>2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>
        <v>3</v>
      </c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>
        <v>4</v>
      </c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75">
        <v>5</v>
      </c>
      <c r="CA54" s="75">
        <v>6</v>
      </c>
      <c r="CB54" s="75"/>
      <c r="CC54" s="75">
        <v>7</v>
      </c>
      <c r="CD54" s="75">
        <v>8</v>
      </c>
      <c r="CE54" s="75">
        <v>9</v>
      </c>
    </row>
    <row r="55" spans="1:83" s="191" customFormat="1" ht="13.8" x14ac:dyDescent="0.25">
      <c r="A55" s="130">
        <v>1</v>
      </c>
      <c r="B55" s="444" t="s">
        <v>146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6"/>
      <c r="BB55" s="361" t="s">
        <v>1</v>
      </c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464">
        <f>BN56</f>
        <v>34442.1</v>
      </c>
      <c r="BO55" s="429"/>
      <c r="BP55" s="429"/>
      <c r="BQ55" s="429"/>
      <c r="BR55" s="429"/>
      <c r="BS55" s="429"/>
      <c r="BT55" s="429"/>
      <c r="BU55" s="429"/>
      <c r="BV55" s="429"/>
      <c r="BW55" s="429"/>
      <c r="BX55" s="429"/>
      <c r="BY55" s="429"/>
      <c r="BZ55" s="187"/>
      <c r="CA55" s="187"/>
      <c r="CB55" s="187"/>
      <c r="CC55" s="187"/>
      <c r="CD55" s="179">
        <f>CD56</f>
        <v>34442.1</v>
      </c>
      <c r="CE55" s="187"/>
    </row>
    <row r="56" spans="1:83" s="191" customFormat="1" ht="13.8" x14ac:dyDescent="0.25">
      <c r="A56" s="374" t="s">
        <v>147</v>
      </c>
      <c r="B56" s="460" t="s">
        <v>0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1"/>
      <c r="AX56" s="461"/>
      <c r="AY56" s="461"/>
      <c r="AZ56" s="461"/>
      <c r="BA56" s="462"/>
      <c r="BB56" s="468">
        <v>156555</v>
      </c>
      <c r="BC56" s="469"/>
      <c r="BD56" s="469"/>
      <c r="BE56" s="469"/>
      <c r="BF56" s="469"/>
      <c r="BG56" s="469"/>
      <c r="BH56" s="469"/>
      <c r="BI56" s="469"/>
      <c r="BJ56" s="469"/>
      <c r="BK56" s="469"/>
      <c r="BL56" s="469"/>
      <c r="BM56" s="470"/>
      <c r="BN56" s="468">
        <f>CD56</f>
        <v>34442.1</v>
      </c>
      <c r="BO56" s="469"/>
      <c r="BP56" s="469"/>
      <c r="BQ56" s="469"/>
      <c r="BR56" s="469"/>
      <c r="BS56" s="469"/>
      <c r="BT56" s="469"/>
      <c r="BU56" s="469"/>
      <c r="BV56" s="469"/>
      <c r="BW56" s="469"/>
      <c r="BX56" s="469"/>
      <c r="BY56" s="470"/>
      <c r="BZ56" s="448"/>
      <c r="CA56" s="450"/>
      <c r="CB56" s="441">
        <v>963321097</v>
      </c>
      <c r="CC56" s="441"/>
      <c r="CD56" s="452">
        <f>156555*22%</f>
        <v>34442.1</v>
      </c>
      <c r="CE56" s="441"/>
    </row>
    <row r="57" spans="1:83" s="191" customFormat="1" ht="13.8" x14ac:dyDescent="0.25">
      <c r="A57" s="377"/>
      <c r="B57" s="444" t="s">
        <v>148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6"/>
      <c r="BB57" s="471"/>
      <c r="BC57" s="472"/>
      <c r="BD57" s="472"/>
      <c r="BE57" s="472"/>
      <c r="BF57" s="472"/>
      <c r="BG57" s="472"/>
      <c r="BH57" s="472"/>
      <c r="BI57" s="472"/>
      <c r="BJ57" s="472"/>
      <c r="BK57" s="472"/>
      <c r="BL57" s="472"/>
      <c r="BM57" s="473"/>
      <c r="BN57" s="471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3"/>
      <c r="BZ57" s="449"/>
      <c r="CA57" s="451"/>
      <c r="CB57" s="442"/>
      <c r="CC57" s="442"/>
      <c r="CD57" s="453"/>
      <c r="CE57" s="442"/>
    </row>
    <row r="58" spans="1:83" s="191" customFormat="1" ht="13.8" x14ac:dyDescent="0.25">
      <c r="A58" s="130" t="s">
        <v>149</v>
      </c>
      <c r="B58" s="465" t="s">
        <v>150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7"/>
      <c r="BB58" s="447"/>
      <c r="BC58" s="447"/>
      <c r="BD58" s="447"/>
      <c r="BE58" s="447"/>
      <c r="BF58" s="447"/>
      <c r="BG58" s="447"/>
      <c r="BH58" s="447"/>
      <c r="BI58" s="447"/>
      <c r="BJ58" s="447"/>
      <c r="BK58" s="447"/>
      <c r="BL58" s="447"/>
      <c r="BM58" s="447"/>
      <c r="BN58" s="447"/>
      <c r="BO58" s="447"/>
      <c r="BP58" s="447"/>
      <c r="BQ58" s="447"/>
      <c r="BR58" s="447"/>
      <c r="BS58" s="447"/>
      <c r="BT58" s="447"/>
      <c r="BU58" s="447"/>
      <c r="BV58" s="447"/>
      <c r="BW58" s="447"/>
      <c r="BX58" s="447"/>
      <c r="BY58" s="447"/>
      <c r="BZ58" s="201"/>
      <c r="CA58" s="176"/>
      <c r="CB58" s="176"/>
      <c r="CC58" s="176"/>
      <c r="CD58" s="174"/>
      <c r="CE58" s="176"/>
    </row>
    <row r="59" spans="1:83" s="191" customFormat="1" ht="13.8" x14ac:dyDescent="0.25">
      <c r="A59" s="374" t="s">
        <v>151</v>
      </c>
      <c r="B59" s="460" t="s">
        <v>152</v>
      </c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1"/>
      <c r="AX59" s="461"/>
      <c r="AY59" s="461"/>
      <c r="AZ59" s="461"/>
      <c r="BA59" s="462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7"/>
      <c r="BM59" s="447"/>
      <c r="BN59" s="447"/>
      <c r="BO59" s="447"/>
      <c r="BP59" s="447"/>
      <c r="BQ59" s="447"/>
      <c r="BR59" s="447"/>
      <c r="BS59" s="447"/>
      <c r="BT59" s="447"/>
      <c r="BU59" s="447"/>
      <c r="BV59" s="447"/>
      <c r="BW59" s="447"/>
      <c r="BX59" s="447"/>
      <c r="BY59" s="447"/>
      <c r="BZ59" s="440"/>
      <c r="CA59" s="361"/>
      <c r="CB59" s="441"/>
      <c r="CC59" s="361"/>
      <c r="CD59" s="447"/>
      <c r="CE59" s="361"/>
    </row>
    <row r="60" spans="1:83" s="191" customFormat="1" ht="13.8" x14ac:dyDescent="0.25">
      <c r="A60" s="380"/>
      <c r="B60" s="444" t="s">
        <v>153</v>
      </c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6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47"/>
      <c r="BN60" s="447"/>
      <c r="BO60" s="447"/>
      <c r="BP60" s="447"/>
      <c r="BQ60" s="447"/>
      <c r="BR60" s="447"/>
      <c r="BS60" s="447"/>
      <c r="BT60" s="447"/>
      <c r="BU60" s="447"/>
      <c r="BV60" s="447"/>
      <c r="BW60" s="447"/>
      <c r="BX60" s="447"/>
      <c r="BY60" s="447"/>
      <c r="BZ60" s="440"/>
      <c r="CA60" s="361"/>
      <c r="CB60" s="442"/>
      <c r="CC60" s="361"/>
      <c r="CD60" s="447"/>
      <c r="CE60" s="361"/>
    </row>
    <row r="61" spans="1:83" s="191" customFormat="1" ht="13.8" x14ac:dyDescent="0.25">
      <c r="A61" s="374">
        <v>2</v>
      </c>
      <c r="B61" s="460" t="s">
        <v>154</v>
      </c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1"/>
      <c r="AD61" s="461"/>
      <c r="AE61" s="461"/>
      <c r="AF61" s="461"/>
      <c r="AG61" s="461"/>
      <c r="AH61" s="461"/>
      <c r="AI61" s="461"/>
      <c r="AJ61" s="461"/>
      <c r="AK61" s="461"/>
      <c r="AL61" s="461"/>
      <c r="AM61" s="461"/>
      <c r="AN61" s="461"/>
      <c r="AO61" s="461"/>
      <c r="AP61" s="461"/>
      <c r="AQ61" s="461"/>
      <c r="AR61" s="461"/>
      <c r="AS61" s="461"/>
      <c r="AT61" s="461"/>
      <c r="AU61" s="461"/>
      <c r="AV61" s="461"/>
      <c r="AW61" s="461"/>
      <c r="AX61" s="461"/>
      <c r="AY61" s="461"/>
      <c r="AZ61" s="461"/>
      <c r="BA61" s="462"/>
      <c r="BB61" s="440" t="s">
        <v>1</v>
      </c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64">
        <f>BN63+BN68</f>
        <v>4853.1949999999997</v>
      </c>
      <c r="BO61" s="464"/>
      <c r="BP61" s="464"/>
      <c r="BQ61" s="464"/>
      <c r="BR61" s="464"/>
      <c r="BS61" s="464"/>
      <c r="BT61" s="464"/>
      <c r="BU61" s="464"/>
      <c r="BV61" s="464"/>
      <c r="BW61" s="464"/>
      <c r="BX61" s="464"/>
      <c r="BY61" s="464"/>
      <c r="BZ61" s="485"/>
      <c r="CA61" s="463"/>
      <c r="CB61" s="486"/>
      <c r="CC61" s="463"/>
      <c r="CD61" s="464">
        <f>BN61</f>
        <v>4853.1949999999997</v>
      </c>
      <c r="CE61" s="361"/>
    </row>
    <row r="62" spans="1:83" s="191" customFormat="1" ht="13.8" x14ac:dyDescent="0.25">
      <c r="A62" s="380"/>
      <c r="B62" s="444" t="s">
        <v>155</v>
      </c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6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64"/>
      <c r="BO62" s="464"/>
      <c r="BP62" s="464"/>
      <c r="BQ62" s="464"/>
      <c r="BR62" s="464"/>
      <c r="BS62" s="464"/>
      <c r="BT62" s="464"/>
      <c r="BU62" s="464"/>
      <c r="BV62" s="464"/>
      <c r="BW62" s="464"/>
      <c r="BX62" s="464"/>
      <c r="BY62" s="464"/>
      <c r="BZ62" s="485"/>
      <c r="CA62" s="463"/>
      <c r="CB62" s="487"/>
      <c r="CC62" s="463"/>
      <c r="CD62" s="464"/>
      <c r="CE62" s="361"/>
    </row>
    <row r="63" spans="1:83" s="191" customFormat="1" ht="13.8" x14ac:dyDescent="0.25">
      <c r="A63" s="374" t="s">
        <v>156</v>
      </c>
      <c r="B63" s="460" t="s">
        <v>0</v>
      </c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1"/>
      <c r="AX63" s="461"/>
      <c r="AY63" s="461"/>
      <c r="AZ63" s="461"/>
      <c r="BA63" s="462"/>
      <c r="BB63" s="447">
        <f>BB56</f>
        <v>156555</v>
      </c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47"/>
      <c r="BN63" s="447">
        <f>CD63</f>
        <v>4540.0949999999993</v>
      </c>
      <c r="BO63" s="447"/>
      <c r="BP63" s="447"/>
      <c r="BQ63" s="447"/>
      <c r="BR63" s="447"/>
      <c r="BS63" s="447"/>
      <c r="BT63" s="447"/>
      <c r="BU63" s="447"/>
      <c r="BV63" s="447"/>
      <c r="BW63" s="447"/>
      <c r="BX63" s="447"/>
      <c r="BY63" s="447"/>
      <c r="BZ63" s="440"/>
      <c r="CA63" s="443"/>
      <c r="CB63" s="441">
        <v>963321097</v>
      </c>
      <c r="CC63" s="361"/>
      <c r="CD63" s="447">
        <f>156555*2.9%</f>
        <v>4540.0949999999993</v>
      </c>
      <c r="CE63" s="361"/>
    </row>
    <row r="64" spans="1:83" s="191" customFormat="1" ht="13.8" x14ac:dyDescent="0.25">
      <c r="A64" s="377"/>
      <c r="B64" s="488" t="s">
        <v>157</v>
      </c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489"/>
      <c r="AO64" s="489"/>
      <c r="AP64" s="489"/>
      <c r="AQ64" s="489"/>
      <c r="AR64" s="489"/>
      <c r="AS64" s="489"/>
      <c r="AT64" s="489"/>
      <c r="AU64" s="489"/>
      <c r="AV64" s="489"/>
      <c r="AW64" s="489"/>
      <c r="AX64" s="489"/>
      <c r="AY64" s="489"/>
      <c r="AZ64" s="489"/>
      <c r="BA64" s="490"/>
      <c r="BB64" s="447"/>
      <c r="BC64" s="447"/>
      <c r="BD64" s="447"/>
      <c r="BE64" s="447"/>
      <c r="BF64" s="447"/>
      <c r="BG64" s="447"/>
      <c r="BH64" s="447"/>
      <c r="BI64" s="447"/>
      <c r="BJ64" s="447"/>
      <c r="BK64" s="447"/>
      <c r="BL64" s="447"/>
      <c r="BM64" s="447"/>
      <c r="BN64" s="447"/>
      <c r="BO64" s="447"/>
      <c r="BP64" s="447"/>
      <c r="BQ64" s="447"/>
      <c r="BR64" s="447"/>
      <c r="BS64" s="447"/>
      <c r="BT64" s="447"/>
      <c r="BU64" s="447"/>
      <c r="BV64" s="447"/>
      <c r="BW64" s="447"/>
      <c r="BX64" s="447"/>
      <c r="BY64" s="447"/>
      <c r="BZ64" s="440"/>
      <c r="CA64" s="361"/>
      <c r="CB64" s="458"/>
      <c r="CC64" s="361"/>
      <c r="CD64" s="447"/>
      <c r="CE64" s="361"/>
    </row>
    <row r="65" spans="1:83" s="191" customFormat="1" ht="13.8" x14ac:dyDescent="0.25">
      <c r="A65" s="380"/>
      <c r="B65" s="444" t="s">
        <v>158</v>
      </c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6"/>
      <c r="BB65" s="447"/>
      <c r="BC65" s="447"/>
      <c r="BD65" s="447"/>
      <c r="BE65" s="447"/>
      <c r="BF65" s="447"/>
      <c r="BG65" s="447"/>
      <c r="BH65" s="447"/>
      <c r="BI65" s="447"/>
      <c r="BJ65" s="447"/>
      <c r="BK65" s="447"/>
      <c r="BL65" s="447"/>
      <c r="BM65" s="447"/>
      <c r="BN65" s="447"/>
      <c r="BO65" s="447"/>
      <c r="BP65" s="447"/>
      <c r="BQ65" s="447"/>
      <c r="BR65" s="447"/>
      <c r="BS65" s="447"/>
      <c r="BT65" s="447"/>
      <c r="BU65" s="447"/>
      <c r="BV65" s="447"/>
      <c r="BW65" s="447"/>
      <c r="BX65" s="447"/>
      <c r="BY65" s="447"/>
      <c r="BZ65" s="440"/>
      <c r="CA65" s="361"/>
      <c r="CB65" s="442"/>
      <c r="CC65" s="361"/>
      <c r="CD65" s="447"/>
      <c r="CE65" s="361"/>
    </row>
    <row r="66" spans="1:83" s="191" customFormat="1" ht="15.6" customHeight="1" x14ac:dyDescent="0.25">
      <c r="A66" s="374" t="s">
        <v>159</v>
      </c>
      <c r="B66" s="460" t="s">
        <v>160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1"/>
      <c r="AX66" s="461"/>
      <c r="AY66" s="461"/>
      <c r="AZ66" s="461"/>
      <c r="BA66" s="462"/>
      <c r="BB66" s="447"/>
      <c r="BC66" s="447"/>
      <c r="BD66" s="447"/>
      <c r="BE66" s="447"/>
      <c r="BF66" s="447"/>
      <c r="BG66" s="447"/>
      <c r="BH66" s="447"/>
      <c r="BI66" s="447"/>
      <c r="BJ66" s="447"/>
      <c r="BK66" s="447"/>
      <c r="BL66" s="447"/>
      <c r="BM66" s="447"/>
      <c r="BN66" s="447"/>
      <c r="BO66" s="447"/>
      <c r="BP66" s="447"/>
      <c r="BQ66" s="447"/>
      <c r="BR66" s="447"/>
      <c r="BS66" s="447"/>
      <c r="BT66" s="447"/>
      <c r="BU66" s="447"/>
      <c r="BV66" s="447"/>
      <c r="BW66" s="447"/>
      <c r="BX66" s="447"/>
      <c r="BY66" s="447"/>
      <c r="BZ66" s="440"/>
      <c r="CA66" s="361"/>
      <c r="CB66" s="441"/>
      <c r="CC66" s="361"/>
      <c r="CD66" s="447"/>
      <c r="CE66" s="361"/>
    </row>
    <row r="67" spans="1:83" s="191" customFormat="1" ht="38.25" customHeight="1" x14ac:dyDescent="0.25">
      <c r="A67" s="380"/>
      <c r="B67" s="444" t="s">
        <v>161</v>
      </c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6"/>
      <c r="BB67" s="447"/>
      <c r="BC67" s="447"/>
      <c r="BD67" s="447"/>
      <c r="BE67" s="447"/>
      <c r="BF67" s="447"/>
      <c r="BG67" s="447"/>
      <c r="BH67" s="447"/>
      <c r="BI67" s="447"/>
      <c r="BJ67" s="447"/>
      <c r="BK67" s="447"/>
      <c r="BL67" s="447"/>
      <c r="BM67" s="447"/>
      <c r="BN67" s="447"/>
      <c r="BO67" s="447"/>
      <c r="BP67" s="447"/>
      <c r="BQ67" s="447"/>
      <c r="BR67" s="447"/>
      <c r="BS67" s="447"/>
      <c r="BT67" s="447"/>
      <c r="BU67" s="447"/>
      <c r="BV67" s="447"/>
      <c r="BW67" s="447"/>
      <c r="BX67" s="447"/>
      <c r="BY67" s="447"/>
      <c r="BZ67" s="440"/>
      <c r="CA67" s="361"/>
      <c r="CB67" s="442"/>
      <c r="CC67" s="361"/>
      <c r="CD67" s="447"/>
      <c r="CE67" s="361"/>
    </row>
    <row r="68" spans="1:83" s="191" customFormat="1" ht="13.8" x14ac:dyDescent="0.25">
      <c r="A68" s="374" t="s">
        <v>162</v>
      </c>
      <c r="B68" s="460" t="s">
        <v>163</v>
      </c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  <c r="AM68" s="461"/>
      <c r="AN68" s="461"/>
      <c r="AO68" s="461"/>
      <c r="AP68" s="461"/>
      <c r="AQ68" s="461"/>
      <c r="AR68" s="461"/>
      <c r="AS68" s="461"/>
      <c r="AT68" s="461"/>
      <c r="AU68" s="461"/>
      <c r="AV68" s="461"/>
      <c r="AW68" s="461"/>
      <c r="AX68" s="461"/>
      <c r="AY68" s="461"/>
      <c r="AZ68" s="461"/>
      <c r="BA68" s="462"/>
      <c r="BB68" s="447">
        <f>BB56</f>
        <v>156555</v>
      </c>
      <c r="BC68" s="447"/>
      <c r="BD68" s="447"/>
      <c r="BE68" s="447"/>
      <c r="BF68" s="447"/>
      <c r="BG68" s="447"/>
      <c r="BH68" s="447"/>
      <c r="BI68" s="447"/>
      <c r="BJ68" s="447"/>
      <c r="BK68" s="447"/>
      <c r="BL68" s="447"/>
      <c r="BM68" s="447"/>
      <c r="BN68" s="447">
        <f>CD68</f>
        <v>313.10000000000002</v>
      </c>
      <c r="BO68" s="447"/>
      <c r="BP68" s="447"/>
      <c r="BQ68" s="447"/>
      <c r="BR68" s="447"/>
      <c r="BS68" s="447"/>
      <c r="BT68" s="447"/>
      <c r="BU68" s="447"/>
      <c r="BV68" s="447"/>
      <c r="BW68" s="447"/>
      <c r="BX68" s="447"/>
      <c r="BY68" s="447"/>
      <c r="BZ68" s="440"/>
      <c r="CA68" s="443"/>
      <c r="CB68" s="441">
        <v>963321097</v>
      </c>
      <c r="CC68" s="361"/>
      <c r="CD68" s="447">
        <v>313.10000000000002</v>
      </c>
      <c r="CE68" s="361"/>
    </row>
    <row r="69" spans="1:83" s="191" customFormat="1" ht="13.8" x14ac:dyDescent="0.25">
      <c r="A69" s="380"/>
      <c r="B69" s="444" t="s">
        <v>164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6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7"/>
      <c r="BY69" s="447"/>
      <c r="BZ69" s="440"/>
      <c r="CA69" s="361"/>
      <c r="CB69" s="442"/>
      <c r="CC69" s="361"/>
      <c r="CD69" s="447"/>
      <c r="CE69" s="361"/>
    </row>
    <row r="70" spans="1:83" s="191" customFormat="1" ht="13.8" x14ac:dyDescent="0.25">
      <c r="A70" s="374" t="s">
        <v>165</v>
      </c>
      <c r="B70" s="460" t="s">
        <v>163</v>
      </c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1"/>
      <c r="AX70" s="461"/>
      <c r="AY70" s="461"/>
      <c r="AZ70" s="461"/>
      <c r="BA70" s="462"/>
      <c r="BB70" s="447"/>
      <c r="BC70" s="447"/>
      <c r="BD70" s="447"/>
      <c r="BE70" s="447"/>
      <c r="BF70" s="447"/>
      <c r="BG70" s="447"/>
      <c r="BH70" s="447"/>
      <c r="BI70" s="447"/>
      <c r="BJ70" s="447"/>
      <c r="BK70" s="447"/>
      <c r="BL70" s="447"/>
      <c r="BM70" s="447"/>
      <c r="BN70" s="447"/>
      <c r="BO70" s="447"/>
      <c r="BP70" s="447"/>
      <c r="BQ70" s="447"/>
      <c r="BR70" s="447"/>
      <c r="BS70" s="447"/>
      <c r="BT70" s="447"/>
      <c r="BU70" s="447"/>
      <c r="BV70" s="447"/>
      <c r="BW70" s="447"/>
      <c r="BX70" s="447"/>
      <c r="BY70" s="447"/>
      <c r="BZ70" s="440"/>
      <c r="CA70" s="361"/>
      <c r="CB70" s="441"/>
      <c r="CC70" s="361"/>
      <c r="CD70" s="447"/>
      <c r="CE70" s="361"/>
    </row>
    <row r="71" spans="1:83" s="191" customFormat="1" ht="15.6" x14ac:dyDescent="0.25">
      <c r="A71" s="380"/>
      <c r="B71" s="444" t="s">
        <v>363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45"/>
      <c r="AX71" s="445"/>
      <c r="AY71" s="445"/>
      <c r="AZ71" s="445"/>
      <c r="BA71" s="446"/>
      <c r="BB71" s="447"/>
      <c r="BC71" s="447"/>
      <c r="BD71" s="447"/>
      <c r="BE71" s="447"/>
      <c r="BF71" s="447"/>
      <c r="BG71" s="447"/>
      <c r="BH71" s="447"/>
      <c r="BI71" s="447"/>
      <c r="BJ71" s="447"/>
      <c r="BK71" s="447"/>
      <c r="BL71" s="447"/>
      <c r="BM71" s="447"/>
      <c r="BN71" s="447"/>
      <c r="BO71" s="447"/>
      <c r="BP71" s="447"/>
      <c r="BQ71" s="447"/>
      <c r="BR71" s="447"/>
      <c r="BS71" s="447"/>
      <c r="BT71" s="447"/>
      <c r="BU71" s="447"/>
      <c r="BV71" s="447"/>
      <c r="BW71" s="447"/>
      <c r="BX71" s="447"/>
      <c r="BY71" s="447"/>
      <c r="BZ71" s="440"/>
      <c r="CA71" s="361"/>
      <c r="CB71" s="442"/>
      <c r="CC71" s="361"/>
      <c r="CD71" s="447"/>
      <c r="CE71" s="361"/>
    </row>
    <row r="72" spans="1:83" s="191" customFormat="1" ht="13.8" x14ac:dyDescent="0.25">
      <c r="A72" s="374" t="s">
        <v>167</v>
      </c>
      <c r="B72" s="460" t="s">
        <v>163</v>
      </c>
      <c r="C72" s="461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1"/>
      <c r="AX72" s="461"/>
      <c r="AY72" s="461"/>
      <c r="AZ72" s="461"/>
      <c r="BA72" s="462"/>
      <c r="BB72" s="447"/>
      <c r="BC72" s="447"/>
      <c r="BD72" s="447"/>
      <c r="BE72" s="447"/>
      <c r="BF72" s="447"/>
      <c r="BG72" s="447"/>
      <c r="BH72" s="447"/>
      <c r="BI72" s="447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7"/>
      <c r="BV72" s="447"/>
      <c r="BW72" s="447"/>
      <c r="BX72" s="447"/>
      <c r="BY72" s="447"/>
      <c r="BZ72" s="440"/>
      <c r="CA72" s="361"/>
      <c r="CB72" s="441"/>
      <c r="CC72" s="361"/>
      <c r="CD72" s="447"/>
      <c r="CE72" s="361"/>
    </row>
    <row r="73" spans="1:83" s="191" customFormat="1" ht="15.6" x14ac:dyDescent="0.25">
      <c r="A73" s="380"/>
      <c r="B73" s="444" t="s">
        <v>363</v>
      </c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6"/>
      <c r="BB73" s="447"/>
      <c r="BC73" s="447"/>
      <c r="BD73" s="447"/>
      <c r="BE73" s="447"/>
      <c r="BF73" s="447"/>
      <c r="BG73" s="447"/>
      <c r="BH73" s="447"/>
      <c r="BI73" s="447"/>
      <c r="BJ73" s="447"/>
      <c r="BK73" s="447"/>
      <c r="BL73" s="447"/>
      <c r="BM73" s="447"/>
      <c r="BN73" s="447"/>
      <c r="BO73" s="447"/>
      <c r="BP73" s="447"/>
      <c r="BQ73" s="447"/>
      <c r="BR73" s="447"/>
      <c r="BS73" s="447"/>
      <c r="BT73" s="447"/>
      <c r="BU73" s="447"/>
      <c r="BV73" s="447"/>
      <c r="BW73" s="447"/>
      <c r="BX73" s="447"/>
      <c r="BY73" s="447"/>
      <c r="BZ73" s="440"/>
      <c r="CA73" s="361"/>
      <c r="CB73" s="442"/>
      <c r="CC73" s="361"/>
      <c r="CD73" s="447"/>
      <c r="CE73" s="361"/>
    </row>
    <row r="74" spans="1:83" s="191" customFormat="1" ht="13.8" x14ac:dyDescent="0.25">
      <c r="A74" s="374">
        <v>3</v>
      </c>
      <c r="B74" s="460" t="s">
        <v>168</v>
      </c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  <c r="AW74" s="461"/>
      <c r="AX74" s="461"/>
      <c r="AY74" s="461"/>
      <c r="AZ74" s="461"/>
      <c r="BA74" s="462"/>
      <c r="BB74" s="447">
        <f>BB56</f>
        <v>156555</v>
      </c>
      <c r="BC74" s="447"/>
      <c r="BD74" s="447"/>
      <c r="BE74" s="447"/>
      <c r="BF74" s="447"/>
      <c r="BG74" s="447"/>
      <c r="BH74" s="447"/>
      <c r="BI74" s="447"/>
      <c r="BJ74" s="447"/>
      <c r="BK74" s="447"/>
      <c r="BL74" s="447"/>
      <c r="BM74" s="447"/>
      <c r="BN74" s="464">
        <f>CD74</f>
        <v>7984.3049999999994</v>
      </c>
      <c r="BO74" s="464"/>
      <c r="BP74" s="464"/>
      <c r="BQ74" s="464"/>
      <c r="BR74" s="464"/>
      <c r="BS74" s="464"/>
      <c r="BT74" s="464"/>
      <c r="BU74" s="464"/>
      <c r="BV74" s="464"/>
      <c r="BW74" s="464"/>
      <c r="BX74" s="464"/>
      <c r="BY74" s="464"/>
      <c r="BZ74" s="440"/>
      <c r="CA74" s="443"/>
      <c r="CB74" s="441">
        <v>963321097</v>
      </c>
      <c r="CC74" s="361"/>
      <c r="CD74" s="464">
        <f>156555*5.1%</f>
        <v>7984.3049999999994</v>
      </c>
      <c r="CE74" s="361"/>
    </row>
    <row r="75" spans="1:83" s="191" customFormat="1" ht="13.8" x14ac:dyDescent="0.25">
      <c r="A75" s="380"/>
      <c r="B75" s="444" t="s">
        <v>169</v>
      </c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  <c r="AO75" s="445"/>
      <c r="AP75" s="445"/>
      <c r="AQ75" s="445"/>
      <c r="AR75" s="445"/>
      <c r="AS75" s="445"/>
      <c r="AT75" s="445"/>
      <c r="AU75" s="445"/>
      <c r="AV75" s="445"/>
      <c r="AW75" s="445"/>
      <c r="AX75" s="445"/>
      <c r="AY75" s="445"/>
      <c r="AZ75" s="445"/>
      <c r="BA75" s="446"/>
      <c r="BB75" s="447"/>
      <c r="BC75" s="447"/>
      <c r="BD75" s="447"/>
      <c r="BE75" s="447"/>
      <c r="BF75" s="447"/>
      <c r="BG75" s="447"/>
      <c r="BH75" s="447"/>
      <c r="BI75" s="447"/>
      <c r="BJ75" s="447"/>
      <c r="BK75" s="447"/>
      <c r="BL75" s="447"/>
      <c r="BM75" s="447"/>
      <c r="BN75" s="464"/>
      <c r="BO75" s="464"/>
      <c r="BP75" s="464"/>
      <c r="BQ75" s="464"/>
      <c r="BR75" s="464"/>
      <c r="BS75" s="464"/>
      <c r="BT75" s="464"/>
      <c r="BU75" s="464"/>
      <c r="BV75" s="464"/>
      <c r="BW75" s="464"/>
      <c r="BX75" s="464"/>
      <c r="BY75" s="464"/>
      <c r="BZ75" s="440"/>
      <c r="CA75" s="361"/>
      <c r="CB75" s="442"/>
      <c r="CC75" s="361"/>
      <c r="CD75" s="464"/>
      <c r="CE75" s="361"/>
    </row>
    <row r="76" spans="1:83" s="189" customFormat="1" ht="13.8" x14ac:dyDescent="0.25">
      <c r="A76" s="195"/>
      <c r="B76" s="437" t="s">
        <v>170</v>
      </c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9"/>
      <c r="BB76" s="463" t="s">
        <v>1</v>
      </c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4">
        <f>BN56+BN63+BN68+BN74</f>
        <v>47279.6</v>
      </c>
      <c r="BO76" s="464"/>
      <c r="BP76" s="464"/>
      <c r="BQ76" s="464"/>
      <c r="BR76" s="464"/>
      <c r="BS76" s="464"/>
      <c r="BT76" s="464"/>
      <c r="BU76" s="464"/>
      <c r="BV76" s="464"/>
      <c r="BW76" s="464"/>
      <c r="BX76" s="464"/>
      <c r="BY76" s="464"/>
      <c r="BZ76" s="202"/>
      <c r="CA76" s="202"/>
      <c r="CB76" s="203"/>
      <c r="CC76" s="203"/>
      <c r="CD76" s="179">
        <f>CD74+CD68+CD63+CD56</f>
        <v>47279.6</v>
      </c>
      <c r="CE76" s="202"/>
    </row>
    <row r="77" spans="1:83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</row>
    <row r="78" spans="1:83" x14ac:dyDescent="0.25">
      <c r="A78" s="459" t="s">
        <v>171</v>
      </c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59"/>
      <c r="BM78" s="459"/>
      <c r="BN78" s="459"/>
      <c r="BO78" s="459"/>
      <c r="BP78" s="459"/>
      <c r="BQ78" s="459"/>
      <c r="BR78" s="459"/>
      <c r="BS78" s="459"/>
      <c r="BT78" s="459"/>
      <c r="BU78" s="459"/>
      <c r="BV78" s="459"/>
      <c r="BW78" s="459"/>
      <c r="BX78" s="459"/>
      <c r="BY78" s="459"/>
      <c r="BZ78" s="204"/>
      <c r="CA78" s="204"/>
      <c r="CB78" s="204"/>
      <c r="CC78" s="204"/>
      <c r="CD78" s="204"/>
      <c r="CE78" s="204"/>
    </row>
    <row r="79" spans="1:83" x14ac:dyDescent="0.25">
      <c r="A79" s="459"/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204"/>
      <c r="CA79" s="204"/>
      <c r="CB79" s="204"/>
      <c r="CC79" s="204"/>
      <c r="CD79" s="204"/>
      <c r="CE79" s="204"/>
    </row>
    <row r="80" spans="1:83" x14ac:dyDescent="0.25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204"/>
      <c r="CA80" s="204"/>
      <c r="CB80" s="204"/>
      <c r="CC80" s="204"/>
      <c r="CD80" s="204"/>
      <c r="CE80" s="204"/>
    </row>
  </sheetData>
  <mergeCells count="260">
    <mergeCell ref="BZ63:BZ65"/>
    <mergeCell ref="B61:BA61"/>
    <mergeCell ref="B62:BA62"/>
    <mergeCell ref="BB61:BM62"/>
    <mergeCell ref="B64:BA64"/>
    <mergeCell ref="B55:BA55"/>
    <mergeCell ref="B17:AF20"/>
    <mergeCell ref="BM17:BY20"/>
    <mergeCell ref="AG21:AQ21"/>
    <mergeCell ref="BM23:BY23"/>
    <mergeCell ref="B31:AF31"/>
    <mergeCell ref="BD42:BL42"/>
    <mergeCell ref="BM42:BY42"/>
    <mergeCell ref="BM22:BY22"/>
    <mergeCell ref="AG27:BA30"/>
    <mergeCell ref="BB22:BL22"/>
    <mergeCell ref="B44:AF44"/>
    <mergeCell ref="AG44:AT44"/>
    <mergeCell ref="AU44:BC44"/>
    <mergeCell ref="BD44:BL44"/>
    <mergeCell ref="BM44:BY44"/>
    <mergeCell ref="BM33:BY33"/>
    <mergeCell ref="AG43:AT43"/>
    <mergeCell ref="AU43:BC43"/>
    <mergeCell ref="CD61:CD62"/>
    <mergeCell ref="CB63:CB65"/>
    <mergeCell ref="CD63:CD65"/>
    <mergeCell ref="CE72:CE73"/>
    <mergeCell ref="CE63:CE65"/>
    <mergeCell ref="CA66:CA67"/>
    <mergeCell ref="CC66:CC67"/>
    <mergeCell ref="CD66:CD67"/>
    <mergeCell ref="CE66:CE67"/>
    <mergeCell ref="CA68:CA69"/>
    <mergeCell ref="CC68:CC69"/>
    <mergeCell ref="CD68:CD69"/>
    <mergeCell ref="CE70:CE71"/>
    <mergeCell ref="CA70:CA71"/>
    <mergeCell ref="CC70:CC71"/>
    <mergeCell ref="CD70:CD71"/>
    <mergeCell ref="CA72:CA73"/>
    <mergeCell ref="CE56:CE57"/>
    <mergeCell ref="BZ59:BZ60"/>
    <mergeCell ref="BZ61:BZ62"/>
    <mergeCell ref="A3:A6"/>
    <mergeCell ref="BZ3:CE3"/>
    <mergeCell ref="BZ4:CA4"/>
    <mergeCell ref="BZ5:BZ6"/>
    <mergeCell ref="BZ38:CA38"/>
    <mergeCell ref="CE38:CE40"/>
    <mergeCell ref="BZ39:BZ40"/>
    <mergeCell ref="CE59:CE60"/>
    <mergeCell ref="CE61:CE62"/>
    <mergeCell ref="CB61:CB62"/>
    <mergeCell ref="BZ50:CE50"/>
    <mergeCell ref="BZ51:CA51"/>
    <mergeCell ref="CE51:CE53"/>
    <mergeCell ref="BZ52:BZ53"/>
    <mergeCell ref="CB52:CB53"/>
    <mergeCell ref="CB59:CB60"/>
    <mergeCell ref="CA59:CA60"/>
    <mergeCell ref="CC59:CC60"/>
    <mergeCell ref="CD59:CD60"/>
    <mergeCell ref="CA61:CA62"/>
    <mergeCell ref="CC61:CC62"/>
    <mergeCell ref="BM3:BY6"/>
    <mergeCell ref="BM7:BY7"/>
    <mergeCell ref="BD10:BL10"/>
    <mergeCell ref="BD9:BL9"/>
    <mergeCell ref="CA39:CA40"/>
    <mergeCell ref="CC39:CC40"/>
    <mergeCell ref="CD39:CD40"/>
    <mergeCell ref="CD5:CD6"/>
    <mergeCell ref="CE4:CE6"/>
    <mergeCell ref="BZ17:CE17"/>
    <mergeCell ref="BZ18:CA18"/>
    <mergeCell ref="CE18:CE20"/>
    <mergeCell ref="CA5:CA6"/>
    <mergeCell ref="CC5:CC6"/>
    <mergeCell ref="BD11:BL11"/>
    <mergeCell ref="BM11:BY11"/>
    <mergeCell ref="BM27:BY30"/>
    <mergeCell ref="BB33:BL33"/>
    <mergeCell ref="BM8:BY8"/>
    <mergeCell ref="AG7:AT7"/>
    <mergeCell ref="AU7:BC7"/>
    <mergeCell ref="BD7:BL7"/>
    <mergeCell ref="BM9:BY9"/>
    <mergeCell ref="B8:AF8"/>
    <mergeCell ref="AG8:AT8"/>
    <mergeCell ref="BD8:BL8"/>
    <mergeCell ref="A9:AF9"/>
    <mergeCell ref="B10:AF10"/>
    <mergeCell ref="AG10:AT10"/>
    <mergeCell ref="AU10:BC10"/>
    <mergeCell ref="AG3:AT6"/>
    <mergeCell ref="AG17:AQ20"/>
    <mergeCell ref="AR17:BA20"/>
    <mergeCell ref="BB17:BL20"/>
    <mergeCell ref="B7:AF7"/>
    <mergeCell ref="AG9:AT9"/>
    <mergeCell ref="AU9:BC9"/>
    <mergeCell ref="B3:AF6"/>
    <mergeCell ref="AU3:BC6"/>
    <mergeCell ref="BD3:BL6"/>
    <mergeCell ref="AG11:AT11"/>
    <mergeCell ref="AU11:BC11"/>
    <mergeCell ref="BM10:BY10"/>
    <mergeCell ref="BZ27:CE27"/>
    <mergeCell ref="BZ28:CA28"/>
    <mergeCell ref="BZ19:BZ20"/>
    <mergeCell ref="CA19:CA20"/>
    <mergeCell ref="CC19:CC20"/>
    <mergeCell ref="CD19:CD20"/>
    <mergeCell ref="BZ29:BZ30"/>
    <mergeCell ref="CA29:CA30"/>
    <mergeCell ref="AR21:BA21"/>
    <mergeCell ref="BB21:BL21"/>
    <mergeCell ref="BM21:BY21"/>
    <mergeCell ref="B22:AF22"/>
    <mergeCell ref="AR22:BA22"/>
    <mergeCell ref="BB23:BL23"/>
    <mergeCell ref="AG22:AQ22"/>
    <mergeCell ref="A17:A20"/>
    <mergeCell ref="A48:CE48"/>
    <mergeCell ref="A35:CE35"/>
    <mergeCell ref="A37:A40"/>
    <mergeCell ref="B37:AF40"/>
    <mergeCell ref="AG37:AT40"/>
    <mergeCell ref="CE28:CE30"/>
    <mergeCell ref="A27:A30"/>
    <mergeCell ref="B27:AF30"/>
    <mergeCell ref="BB27:BL30"/>
    <mergeCell ref="CB29:CB30"/>
    <mergeCell ref="B43:AF43"/>
    <mergeCell ref="BD43:BL43"/>
    <mergeCell ref="BM43:BY43"/>
    <mergeCell ref="AG33:BA33"/>
    <mergeCell ref="A47:CE47"/>
    <mergeCell ref="CB38:CD38"/>
    <mergeCell ref="CB39:CB40"/>
    <mergeCell ref="BD41:BL41"/>
    <mergeCell ref="B42:AF42"/>
    <mergeCell ref="BM41:BY41"/>
    <mergeCell ref="AU41:BC41"/>
    <mergeCell ref="AG42:AT42"/>
    <mergeCell ref="AU42:BC42"/>
    <mergeCell ref="AU37:BC40"/>
    <mergeCell ref="BD37:BL40"/>
    <mergeCell ref="BM37:BY40"/>
    <mergeCell ref="A56:A57"/>
    <mergeCell ref="BB56:BM57"/>
    <mergeCell ref="B74:BA74"/>
    <mergeCell ref="BN74:BY75"/>
    <mergeCell ref="B66:BA66"/>
    <mergeCell ref="BB63:BM65"/>
    <mergeCell ref="A63:A65"/>
    <mergeCell ref="A66:A67"/>
    <mergeCell ref="BB66:BM67"/>
    <mergeCell ref="B67:BA67"/>
    <mergeCell ref="B63:BA63"/>
    <mergeCell ref="B56:BA56"/>
    <mergeCell ref="BN56:BY57"/>
    <mergeCell ref="B65:BA65"/>
    <mergeCell ref="BN58:BY58"/>
    <mergeCell ref="BN59:BY60"/>
    <mergeCell ref="BN61:BY62"/>
    <mergeCell ref="BN63:BY65"/>
    <mergeCell ref="A68:A69"/>
    <mergeCell ref="BB68:BM69"/>
    <mergeCell ref="B68:BA68"/>
    <mergeCell ref="A50:A53"/>
    <mergeCell ref="BB59:BM60"/>
    <mergeCell ref="BB50:BM53"/>
    <mergeCell ref="A78:BY80"/>
    <mergeCell ref="BN70:BY71"/>
    <mergeCell ref="A72:A73"/>
    <mergeCell ref="BB72:BM73"/>
    <mergeCell ref="BN72:BY73"/>
    <mergeCell ref="B70:BA70"/>
    <mergeCell ref="B76:BA76"/>
    <mergeCell ref="BB76:BM76"/>
    <mergeCell ref="BN76:BY76"/>
    <mergeCell ref="B73:BA73"/>
    <mergeCell ref="A61:A62"/>
    <mergeCell ref="A74:A75"/>
    <mergeCell ref="B75:BA75"/>
    <mergeCell ref="BB74:BM75"/>
    <mergeCell ref="B71:BA71"/>
    <mergeCell ref="B72:BA72"/>
    <mergeCell ref="A70:A71"/>
    <mergeCell ref="BB70:BM71"/>
    <mergeCell ref="A59:A60"/>
    <mergeCell ref="B57:BA57"/>
    <mergeCell ref="B58:BA58"/>
    <mergeCell ref="A11:AF11"/>
    <mergeCell ref="CB4:CD4"/>
    <mergeCell ref="CB5:CB6"/>
    <mergeCell ref="CB18:CD18"/>
    <mergeCell ref="CB19:CB20"/>
    <mergeCell ref="CB28:CD28"/>
    <mergeCell ref="A23:AF23"/>
    <mergeCell ref="AU8:BC8"/>
    <mergeCell ref="B41:AF41"/>
    <mergeCell ref="AG41:AT41"/>
    <mergeCell ref="BZ37:CE37"/>
    <mergeCell ref="BM32:BY32"/>
    <mergeCell ref="BM31:BY31"/>
    <mergeCell ref="AG31:BA31"/>
    <mergeCell ref="A33:AF33"/>
    <mergeCell ref="B32:AF32"/>
    <mergeCell ref="AR23:BA23"/>
    <mergeCell ref="AG23:AQ23"/>
    <mergeCell ref="BB31:BL31"/>
    <mergeCell ref="AG32:BA32"/>
    <mergeCell ref="BB32:BL32"/>
    <mergeCell ref="CC29:CC30"/>
    <mergeCell ref="CD29:CD30"/>
    <mergeCell ref="B21:AF21"/>
    <mergeCell ref="B69:BA69"/>
    <mergeCell ref="BN68:BY69"/>
    <mergeCell ref="BN66:BY67"/>
    <mergeCell ref="CC52:CC53"/>
    <mergeCell ref="CD52:CD53"/>
    <mergeCell ref="BZ56:BZ57"/>
    <mergeCell ref="CA56:CA57"/>
    <mergeCell ref="CC56:CC57"/>
    <mergeCell ref="CA52:CA53"/>
    <mergeCell ref="CD56:CD57"/>
    <mergeCell ref="CB56:CB57"/>
    <mergeCell ref="BN50:BY53"/>
    <mergeCell ref="CB51:CD51"/>
    <mergeCell ref="B50:BA53"/>
    <mergeCell ref="BB58:BM58"/>
    <mergeCell ref="B59:BA59"/>
    <mergeCell ref="B60:BA60"/>
    <mergeCell ref="BB55:BM55"/>
    <mergeCell ref="BN55:BY55"/>
    <mergeCell ref="B54:BA54"/>
    <mergeCell ref="BB54:BM54"/>
    <mergeCell ref="BN54:BY54"/>
    <mergeCell ref="CC63:CC65"/>
    <mergeCell ref="CA63:CA65"/>
    <mergeCell ref="CE68:CE69"/>
    <mergeCell ref="BZ68:BZ69"/>
    <mergeCell ref="CB72:CB73"/>
    <mergeCell ref="CB74:CB75"/>
    <mergeCell ref="CB66:CB67"/>
    <mergeCell ref="CB68:CB69"/>
    <mergeCell ref="CB70:CB71"/>
    <mergeCell ref="BZ66:BZ67"/>
    <mergeCell ref="CA74:CA75"/>
    <mergeCell ref="CC72:CC73"/>
    <mergeCell ref="CD72:CD73"/>
    <mergeCell ref="BZ70:BZ71"/>
    <mergeCell ref="BZ72:BZ73"/>
    <mergeCell ref="BZ74:BZ75"/>
    <mergeCell ref="CC74:CC75"/>
    <mergeCell ref="CE74:CE75"/>
    <mergeCell ref="CD74:CD75"/>
  </mergeCells>
  <pageMargins left="0.78740157480314965" right="0.39370078740157483" top="0.59055118110236227" bottom="0.59055118110236227" header="0.27559055118110237" footer="0.27559055118110237"/>
  <pageSetup paperSize="9" scale="80" fitToHeight="0" orientation="landscape" r:id="rId1"/>
  <headerFooter alignWithMargins="0"/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4659260841701"/>
    <pageSetUpPr fitToPage="1"/>
  </sheetPr>
  <dimension ref="A1:CH56"/>
  <sheetViews>
    <sheetView topLeftCell="A49" workbookViewId="0">
      <selection activeCell="BJ24" sqref="BJ24:CB24"/>
    </sheetView>
  </sheetViews>
  <sheetFormatPr defaultColWidth="1.109375" defaultRowHeight="13.2" x14ac:dyDescent="0.25"/>
  <cols>
    <col min="1" max="1" width="2.109375" style="71" bestFit="1" customWidth="1"/>
    <col min="2" max="80" width="1.109375" style="71"/>
    <col min="81" max="81" width="9" style="71" customWidth="1"/>
    <col min="82" max="82" width="11.44140625" style="71" customWidth="1"/>
    <col min="83" max="83" width="8.6640625" style="71" customWidth="1"/>
    <col min="84" max="84" width="9" style="71" customWidth="1"/>
    <col min="85" max="85" width="8.109375" style="71" customWidth="1"/>
    <col min="86" max="86" width="13.33203125" style="71" customWidth="1"/>
    <col min="87" max="16384" width="1.109375" style="71"/>
  </cols>
  <sheetData>
    <row r="1" spans="1:86" ht="15.6" x14ac:dyDescent="0.3">
      <c r="A1" s="65" t="s">
        <v>172</v>
      </c>
    </row>
    <row r="3" spans="1:86" s="65" customFormat="1" ht="45.75" customHeight="1" x14ac:dyDescent="0.3">
      <c r="A3" s="245" t="s">
        <v>173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</row>
    <row r="4" spans="1:86" s="67" customFormat="1" ht="17.25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6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232" t="s">
        <v>174</v>
      </c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 t="s">
        <v>139</v>
      </c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 t="s">
        <v>175</v>
      </c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6" t="s">
        <v>61</v>
      </c>
      <c r="CD5" s="236"/>
      <c r="CE5" s="236"/>
      <c r="CF5" s="236"/>
      <c r="CG5" s="236"/>
      <c r="CH5" s="236"/>
    </row>
    <row r="6" spans="1:86" ht="89.2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 t="s">
        <v>66</v>
      </c>
      <c r="CD6" s="232"/>
      <c r="CE6" s="232" t="s">
        <v>67</v>
      </c>
      <c r="CF6" s="232"/>
      <c r="CG6" s="232"/>
      <c r="CH6" s="232" t="s">
        <v>68</v>
      </c>
    </row>
    <row r="7" spans="1:86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1" t="s">
        <v>69</v>
      </c>
      <c r="CD7" s="231" t="s">
        <v>70</v>
      </c>
      <c r="CE7" s="231" t="s">
        <v>71</v>
      </c>
      <c r="CF7" s="231" t="s">
        <v>69</v>
      </c>
      <c r="CG7" s="231" t="s">
        <v>70</v>
      </c>
      <c r="CH7" s="232"/>
    </row>
    <row r="8" spans="1:86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1"/>
      <c r="CD8" s="231"/>
      <c r="CE8" s="231"/>
      <c r="CF8" s="231"/>
      <c r="CG8" s="231"/>
      <c r="CH8" s="232"/>
    </row>
    <row r="9" spans="1:86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>
        <v>3</v>
      </c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>
        <v>4</v>
      </c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 t="s">
        <v>114</v>
      </c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75">
        <v>6</v>
      </c>
      <c r="CD9" s="75">
        <v>7</v>
      </c>
      <c r="CE9" s="75">
        <v>8</v>
      </c>
      <c r="CF9" s="75">
        <v>9</v>
      </c>
      <c r="CG9" s="75">
        <v>10</v>
      </c>
      <c r="CH9" s="75">
        <v>11</v>
      </c>
    </row>
    <row r="10" spans="1:86" x14ac:dyDescent="0.25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83"/>
      <c r="CD10" s="83"/>
      <c r="CE10" s="83"/>
      <c r="CF10" s="83"/>
      <c r="CG10" s="83"/>
      <c r="CH10" s="83"/>
    </row>
    <row r="11" spans="1:86" x14ac:dyDescent="0.2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83"/>
      <c r="CD11" s="83"/>
      <c r="CE11" s="83"/>
      <c r="CF11" s="83"/>
      <c r="CG11" s="83"/>
      <c r="CH11" s="83"/>
    </row>
    <row r="12" spans="1:86" x14ac:dyDescent="0.25">
      <c r="A12" s="228" t="s">
        <v>176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36" t="s">
        <v>1</v>
      </c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 t="s">
        <v>1</v>
      </c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83"/>
      <c r="CD12" s="83"/>
      <c r="CE12" s="83"/>
      <c r="CF12" s="83"/>
      <c r="CG12" s="83"/>
      <c r="CH12" s="83"/>
    </row>
    <row r="13" spans="1:86" s="90" customFormat="1" ht="15.6" x14ac:dyDescent="0.3"/>
    <row r="14" spans="1:86" s="90" customFormat="1" ht="15.6" x14ac:dyDescent="0.3">
      <c r="A14" s="65" t="s">
        <v>177</v>
      </c>
    </row>
    <row r="15" spans="1:86" s="90" customFormat="1" ht="15.6" x14ac:dyDescent="0.3"/>
    <row r="16" spans="1:86" s="65" customFormat="1" ht="15.6" x14ac:dyDescent="0.3">
      <c r="A16" s="70" t="s">
        <v>178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8" spans="1:86" x14ac:dyDescent="0.25">
      <c r="A18" s="365" t="s">
        <v>56</v>
      </c>
      <c r="B18" s="366"/>
      <c r="C18" s="366"/>
      <c r="D18" s="367"/>
      <c r="E18" s="374" t="s">
        <v>110</v>
      </c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  <c r="AN18" s="365" t="s">
        <v>179</v>
      </c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7"/>
      <c r="BB18" s="365" t="s">
        <v>180</v>
      </c>
      <c r="BC18" s="366"/>
      <c r="BD18" s="366"/>
      <c r="BE18" s="366"/>
      <c r="BF18" s="366"/>
      <c r="BG18" s="366"/>
      <c r="BH18" s="366"/>
      <c r="BI18" s="367"/>
      <c r="BJ18" s="365" t="s">
        <v>181</v>
      </c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7"/>
      <c r="CC18" s="236" t="s">
        <v>61</v>
      </c>
      <c r="CD18" s="236"/>
      <c r="CE18" s="236"/>
      <c r="CF18" s="236"/>
      <c r="CG18" s="236"/>
      <c r="CH18" s="236"/>
    </row>
    <row r="19" spans="1:86" ht="93" customHeight="1" x14ac:dyDescent="0.25">
      <c r="A19" s="368"/>
      <c r="B19" s="369"/>
      <c r="C19" s="369"/>
      <c r="D19" s="370"/>
      <c r="E19" s="377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9"/>
      <c r="AN19" s="368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70"/>
      <c r="BB19" s="368"/>
      <c r="BC19" s="369"/>
      <c r="BD19" s="369"/>
      <c r="BE19" s="369"/>
      <c r="BF19" s="369"/>
      <c r="BG19" s="369"/>
      <c r="BH19" s="369"/>
      <c r="BI19" s="370"/>
      <c r="BJ19" s="368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0"/>
      <c r="CC19" s="232" t="s">
        <v>66</v>
      </c>
      <c r="CD19" s="232"/>
      <c r="CE19" s="232" t="s">
        <v>67</v>
      </c>
      <c r="CF19" s="232"/>
      <c r="CG19" s="232"/>
      <c r="CH19" s="232" t="s">
        <v>68</v>
      </c>
    </row>
    <row r="20" spans="1:86" x14ac:dyDescent="0.25">
      <c r="A20" s="368"/>
      <c r="B20" s="369"/>
      <c r="C20" s="369"/>
      <c r="D20" s="370"/>
      <c r="E20" s="377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9"/>
      <c r="AN20" s="368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70"/>
      <c r="BB20" s="368"/>
      <c r="BC20" s="369"/>
      <c r="BD20" s="369"/>
      <c r="BE20" s="369"/>
      <c r="BF20" s="369"/>
      <c r="BG20" s="369"/>
      <c r="BH20" s="369"/>
      <c r="BI20" s="370"/>
      <c r="BJ20" s="368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70"/>
      <c r="CC20" s="231" t="s">
        <v>69</v>
      </c>
      <c r="CD20" s="231" t="s">
        <v>70</v>
      </c>
      <c r="CE20" s="231" t="s">
        <v>71</v>
      </c>
      <c r="CF20" s="231" t="s">
        <v>69</v>
      </c>
      <c r="CG20" s="231" t="s">
        <v>70</v>
      </c>
      <c r="CH20" s="232"/>
    </row>
    <row r="21" spans="1:86" x14ac:dyDescent="0.25">
      <c r="A21" s="371"/>
      <c r="B21" s="372"/>
      <c r="C21" s="372"/>
      <c r="D21" s="373"/>
      <c r="E21" s="380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2"/>
      <c r="AN21" s="371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3"/>
      <c r="BB21" s="371"/>
      <c r="BC21" s="372"/>
      <c r="BD21" s="372"/>
      <c r="BE21" s="372"/>
      <c r="BF21" s="372"/>
      <c r="BG21" s="372"/>
      <c r="BH21" s="372"/>
      <c r="BI21" s="373"/>
      <c r="BJ21" s="371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3"/>
      <c r="CC21" s="231"/>
      <c r="CD21" s="231"/>
      <c r="CE21" s="231"/>
      <c r="CF21" s="231"/>
      <c r="CG21" s="231"/>
      <c r="CH21" s="232"/>
    </row>
    <row r="22" spans="1:86" x14ac:dyDescent="0.25">
      <c r="A22" s="361">
        <v>1</v>
      </c>
      <c r="B22" s="361"/>
      <c r="C22" s="361"/>
      <c r="D22" s="361"/>
      <c r="E22" s="361">
        <v>2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>
        <v>3</v>
      </c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>
        <v>4</v>
      </c>
      <c r="BC22" s="361"/>
      <c r="BD22" s="361"/>
      <c r="BE22" s="361"/>
      <c r="BF22" s="361"/>
      <c r="BG22" s="361"/>
      <c r="BH22" s="361"/>
      <c r="BI22" s="361"/>
      <c r="BJ22" s="361" t="s">
        <v>182</v>
      </c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75">
        <v>6</v>
      </c>
      <c r="CD22" s="75">
        <v>7</v>
      </c>
      <c r="CE22" s="75">
        <v>8</v>
      </c>
      <c r="CF22" s="75">
        <v>9</v>
      </c>
      <c r="CG22" s="75">
        <v>10</v>
      </c>
      <c r="CH22" s="75">
        <v>11</v>
      </c>
    </row>
    <row r="23" spans="1:86" x14ac:dyDescent="0.25">
      <c r="A23" s="354">
        <v>1</v>
      </c>
      <c r="B23" s="354"/>
      <c r="C23" s="354"/>
      <c r="D23" s="354"/>
      <c r="E23" s="355" t="s">
        <v>183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7">
        <v>0</v>
      </c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132"/>
      <c r="CD23" s="133">
        <f>BJ23</f>
        <v>0</v>
      </c>
      <c r="CE23" s="132"/>
      <c r="CF23" s="132"/>
      <c r="CG23" s="132"/>
      <c r="CH23" s="132"/>
    </row>
    <row r="24" spans="1:86" x14ac:dyDescent="0.25">
      <c r="A24" s="354">
        <v>2</v>
      </c>
      <c r="B24" s="354"/>
      <c r="C24" s="354"/>
      <c r="D24" s="354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132"/>
      <c r="CD24" s="133"/>
      <c r="CE24" s="132"/>
      <c r="CF24" s="132"/>
      <c r="CG24" s="132"/>
      <c r="CH24" s="132"/>
    </row>
    <row r="25" spans="1:86" x14ac:dyDescent="0.25">
      <c r="A25" s="228" t="s">
        <v>184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30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236" t="s">
        <v>1</v>
      </c>
      <c r="BC25" s="236"/>
      <c r="BD25" s="236"/>
      <c r="BE25" s="236"/>
      <c r="BF25" s="236"/>
      <c r="BG25" s="236"/>
      <c r="BH25" s="236"/>
      <c r="BI25" s="236"/>
      <c r="BJ25" s="383">
        <f>SUM(BJ23:CB24)</f>
        <v>0</v>
      </c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133"/>
      <c r="CD25" s="135">
        <f>CD23</f>
        <v>0</v>
      </c>
      <c r="CE25" s="133"/>
      <c r="CF25" s="133"/>
      <c r="CG25" s="133"/>
      <c r="CH25" s="136">
        <f>SUM(CH23:CH24)</f>
        <v>0</v>
      </c>
    </row>
    <row r="26" spans="1:86" x14ac:dyDescent="0.25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83"/>
      <c r="CD26" s="83"/>
      <c r="CE26" s="83"/>
      <c r="CF26" s="83"/>
      <c r="CG26" s="83"/>
      <c r="CH26" s="83"/>
    </row>
    <row r="27" spans="1:86" x14ac:dyDescent="0.25">
      <c r="A27" s="228" t="s">
        <v>185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30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236" t="s">
        <v>1</v>
      </c>
      <c r="BC27" s="236"/>
      <c r="BD27" s="236"/>
      <c r="BE27" s="236"/>
      <c r="BF27" s="236"/>
      <c r="BG27" s="236"/>
      <c r="BH27" s="236"/>
      <c r="BI27" s="23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83"/>
      <c r="CD27" s="83"/>
      <c r="CE27" s="83"/>
      <c r="CF27" s="83"/>
      <c r="CG27" s="83"/>
      <c r="CH27" s="83"/>
    </row>
    <row r="28" spans="1:86" x14ac:dyDescent="0.25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83"/>
      <c r="CD28" s="83"/>
      <c r="CE28" s="83"/>
      <c r="CF28" s="83"/>
      <c r="CG28" s="83"/>
      <c r="CH28" s="83"/>
    </row>
    <row r="29" spans="1:86" x14ac:dyDescent="0.25">
      <c r="A29" s="228" t="s">
        <v>186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30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236" t="s">
        <v>1</v>
      </c>
      <c r="BC29" s="236"/>
      <c r="BD29" s="236"/>
      <c r="BE29" s="236"/>
      <c r="BF29" s="236"/>
      <c r="BG29" s="236"/>
      <c r="BH29" s="236"/>
      <c r="BI29" s="23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83"/>
      <c r="CD29" s="83"/>
      <c r="CE29" s="83"/>
      <c r="CF29" s="83"/>
      <c r="CG29" s="83"/>
      <c r="CH29" s="83"/>
    </row>
    <row r="30" spans="1:86" x14ac:dyDescent="0.25">
      <c r="A30" s="354"/>
      <c r="B30" s="354"/>
      <c r="C30" s="354"/>
      <c r="D30" s="354"/>
      <c r="E30" s="354" t="s">
        <v>187</v>
      </c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7">
        <v>0</v>
      </c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83"/>
      <c r="CD30" s="133"/>
      <c r="CE30" s="83"/>
      <c r="CF30" s="83"/>
      <c r="CG30" s="83"/>
      <c r="CH30" s="133">
        <f>BJ30</f>
        <v>0</v>
      </c>
    </row>
    <row r="31" spans="1:86" x14ac:dyDescent="0.25">
      <c r="A31" s="228" t="s">
        <v>188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30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236" t="s">
        <v>1</v>
      </c>
      <c r="BC31" s="236"/>
      <c r="BD31" s="236"/>
      <c r="BE31" s="236"/>
      <c r="BF31" s="236"/>
      <c r="BG31" s="236"/>
      <c r="BH31" s="236"/>
      <c r="BI31" s="236"/>
      <c r="BJ31" s="383">
        <f>BJ30</f>
        <v>0</v>
      </c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83"/>
      <c r="CD31" s="135"/>
      <c r="CE31" s="83"/>
      <c r="CF31" s="83"/>
      <c r="CG31" s="83"/>
      <c r="CH31" s="135">
        <f>BJ31</f>
        <v>0</v>
      </c>
    </row>
    <row r="32" spans="1:86" x14ac:dyDescent="0.25">
      <c r="A32" s="137"/>
      <c r="B32" s="137"/>
      <c r="C32" s="137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139"/>
      <c r="BD32" s="139"/>
      <c r="BE32" s="139"/>
      <c r="BF32" s="139"/>
      <c r="BG32" s="139"/>
      <c r="BH32" s="139"/>
      <c r="BI32" s="139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7"/>
      <c r="CD32" s="137"/>
      <c r="CE32" s="137"/>
      <c r="CF32" s="137"/>
      <c r="CG32" s="137"/>
      <c r="CH32" s="137"/>
    </row>
    <row r="33" spans="1:86" ht="15.6" x14ac:dyDescent="0.3">
      <c r="A33" s="140" t="s">
        <v>189</v>
      </c>
      <c r="B33" s="137"/>
      <c r="C33" s="137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139"/>
      <c r="BD33" s="139"/>
      <c r="BE33" s="139"/>
      <c r="BF33" s="139"/>
      <c r="BG33" s="139"/>
      <c r="BH33" s="139"/>
      <c r="BI33" s="139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7"/>
      <c r="CD33" s="137"/>
      <c r="CE33" s="137"/>
      <c r="CF33" s="137"/>
      <c r="CG33" s="137"/>
      <c r="CH33" s="137"/>
    </row>
    <row r="34" spans="1:86" x14ac:dyDescent="0.25">
      <c r="A34" s="137"/>
      <c r="B34" s="137"/>
      <c r="C34" s="137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139"/>
      <c r="BD34" s="139"/>
      <c r="BE34" s="139"/>
      <c r="BF34" s="139"/>
      <c r="BG34" s="139"/>
      <c r="BH34" s="139"/>
      <c r="BI34" s="139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7"/>
      <c r="CD34" s="137"/>
      <c r="CE34" s="137"/>
      <c r="CF34" s="137"/>
      <c r="CG34" s="137"/>
      <c r="CH34" s="137"/>
    </row>
    <row r="35" spans="1:86" s="65" customFormat="1" ht="32.25" customHeight="1" x14ac:dyDescent="0.3">
      <c r="A35" s="245" t="s">
        <v>190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</row>
    <row r="37" spans="1:86" ht="12.75" customHeight="1" x14ac:dyDescent="0.25">
      <c r="A37" s="365" t="s">
        <v>56</v>
      </c>
      <c r="B37" s="366"/>
      <c r="C37" s="366"/>
      <c r="D37" s="367"/>
      <c r="E37" s="374" t="s">
        <v>110</v>
      </c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6"/>
      <c r="AN37" s="365" t="s">
        <v>191</v>
      </c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7"/>
      <c r="BN37" s="365" t="s">
        <v>192</v>
      </c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7"/>
      <c r="CC37" s="236" t="s">
        <v>61</v>
      </c>
      <c r="CD37" s="236"/>
      <c r="CE37" s="236"/>
      <c r="CF37" s="236"/>
      <c r="CG37" s="236"/>
      <c r="CH37" s="236"/>
    </row>
    <row r="38" spans="1:86" ht="93.75" customHeight="1" x14ac:dyDescent="0.25">
      <c r="A38" s="368"/>
      <c r="B38" s="369"/>
      <c r="C38" s="369"/>
      <c r="D38" s="370"/>
      <c r="E38" s="377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9"/>
      <c r="AN38" s="368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70"/>
      <c r="BN38" s="368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70"/>
      <c r="CC38" s="232" t="s">
        <v>66</v>
      </c>
      <c r="CD38" s="232"/>
      <c r="CE38" s="232" t="s">
        <v>67</v>
      </c>
      <c r="CF38" s="232"/>
      <c r="CG38" s="232"/>
      <c r="CH38" s="232" t="s">
        <v>68</v>
      </c>
    </row>
    <row r="39" spans="1:86" x14ac:dyDescent="0.25">
      <c r="A39" s="368"/>
      <c r="B39" s="369"/>
      <c r="C39" s="369"/>
      <c r="D39" s="370"/>
      <c r="E39" s="377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9"/>
      <c r="AN39" s="368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70"/>
      <c r="BN39" s="368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70"/>
      <c r="CC39" s="231" t="s">
        <v>69</v>
      </c>
      <c r="CD39" s="231" t="s">
        <v>70</v>
      </c>
      <c r="CE39" s="231" t="s">
        <v>71</v>
      </c>
      <c r="CF39" s="231" t="s">
        <v>69</v>
      </c>
      <c r="CG39" s="231" t="s">
        <v>70</v>
      </c>
      <c r="CH39" s="232"/>
    </row>
    <row r="40" spans="1:86" x14ac:dyDescent="0.25">
      <c r="A40" s="371"/>
      <c r="B40" s="372"/>
      <c r="C40" s="372"/>
      <c r="D40" s="373"/>
      <c r="E40" s="380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2"/>
      <c r="AN40" s="371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3"/>
      <c r="BN40" s="371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3"/>
      <c r="CC40" s="231"/>
      <c r="CD40" s="231"/>
      <c r="CE40" s="231"/>
      <c r="CF40" s="231"/>
      <c r="CG40" s="231"/>
      <c r="CH40" s="232"/>
    </row>
    <row r="41" spans="1:86" x14ac:dyDescent="0.25">
      <c r="A41" s="361">
        <v>1</v>
      </c>
      <c r="B41" s="361"/>
      <c r="C41" s="361"/>
      <c r="D41" s="361"/>
      <c r="E41" s="361">
        <v>2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2">
        <v>3</v>
      </c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4"/>
      <c r="BN41" s="361">
        <v>4</v>
      </c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75">
        <v>5</v>
      </c>
      <c r="CD41" s="75">
        <v>6</v>
      </c>
      <c r="CE41" s="75">
        <v>7</v>
      </c>
      <c r="CF41" s="75">
        <v>8</v>
      </c>
      <c r="CG41" s="75">
        <v>9</v>
      </c>
      <c r="CH41" s="75">
        <v>10</v>
      </c>
    </row>
    <row r="42" spans="1:86" x14ac:dyDescent="0.25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234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235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83"/>
      <c r="CD42" s="83"/>
      <c r="CE42" s="83"/>
      <c r="CF42" s="83"/>
      <c r="CG42" s="83"/>
      <c r="CH42" s="83"/>
    </row>
    <row r="43" spans="1:86" x14ac:dyDescent="0.25">
      <c r="A43" s="354"/>
      <c r="B43" s="354"/>
      <c r="C43" s="354"/>
      <c r="D43" s="354"/>
      <c r="E43" s="356" t="s">
        <v>193</v>
      </c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234" t="s">
        <v>1</v>
      </c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58"/>
      <c r="BK43" s="358"/>
      <c r="BL43" s="358"/>
      <c r="BM43" s="235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83"/>
      <c r="CD43" s="83"/>
      <c r="CE43" s="83"/>
      <c r="CF43" s="83"/>
      <c r="CG43" s="83"/>
      <c r="CH43" s="83"/>
    </row>
    <row r="44" spans="1:86" x14ac:dyDescent="0.25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234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235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83"/>
      <c r="CD44" s="83"/>
      <c r="CE44" s="83"/>
      <c r="CF44" s="83"/>
      <c r="CG44" s="83"/>
      <c r="CH44" s="83"/>
    </row>
    <row r="45" spans="1:86" x14ac:dyDescent="0.25">
      <c r="A45" s="354"/>
      <c r="B45" s="354"/>
      <c r="C45" s="354"/>
      <c r="D45" s="354"/>
      <c r="E45" s="356" t="s">
        <v>194</v>
      </c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234" t="s">
        <v>1</v>
      </c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235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83"/>
      <c r="CD45" s="83"/>
      <c r="CE45" s="83"/>
      <c r="CF45" s="83"/>
      <c r="CG45" s="83"/>
      <c r="CH45" s="83"/>
    </row>
    <row r="48" spans="1:86" s="65" customFormat="1" ht="32.25" customHeight="1" x14ac:dyDescent="0.3">
      <c r="A48" s="245" t="s">
        <v>195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</row>
    <row r="50" spans="1:86" ht="12.75" customHeight="1" x14ac:dyDescent="0.25">
      <c r="A50" s="365" t="s">
        <v>56</v>
      </c>
      <c r="B50" s="366"/>
      <c r="C50" s="366"/>
      <c r="D50" s="367"/>
      <c r="E50" s="374" t="s">
        <v>110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6"/>
      <c r="AN50" s="365" t="s">
        <v>196</v>
      </c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7"/>
      <c r="BN50" s="365" t="s">
        <v>197</v>
      </c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7"/>
      <c r="CC50" s="236" t="s">
        <v>61</v>
      </c>
      <c r="CD50" s="236"/>
      <c r="CE50" s="236"/>
      <c r="CF50" s="236"/>
      <c r="CG50" s="236"/>
      <c r="CH50" s="236"/>
    </row>
    <row r="51" spans="1:86" ht="93.75" customHeight="1" x14ac:dyDescent="0.25">
      <c r="A51" s="368"/>
      <c r="B51" s="369"/>
      <c r="C51" s="369"/>
      <c r="D51" s="370"/>
      <c r="E51" s="377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9"/>
      <c r="AN51" s="368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70"/>
      <c r="BN51" s="368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0"/>
      <c r="CC51" s="232" t="s">
        <v>66</v>
      </c>
      <c r="CD51" s="232"/>
      <c r="CE51" s="232" t="s">
        <v>67</v>
      </c>
      <c r="CF51" s="232"/>
      <c r="CG51" s="232"/>
      <c r="CH51" s="232" t="s">
        <v>68</v>
      </c>
    </row>
    <row r="52" spans="1:86" x14ac:dyDescent="0.25">
      <c r="A52" s="368"/>
      <c r="B52" s="369"/>
      <c r="C52" s="369"/>
      <c r="D52" s="370"/>
      <c r="E52" s="377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9"/>
      <c r="AN52" s="368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70"/>
      <c r="BN52" s="368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70"/>
      <c r="CC52" s="231" t="s">
        <v>69</v>
      </c>
      <c r="CD52" s="231" t="s">
        <v>70</v>
      </c>
      <c r="CE52" s="231" t="s">
        <v>71</v>
      </c>
      <c r="CF52" s="231" t="s">
        <v>69</v>
      </c>
      <c r="CG52" s="231" t="s">
        <v>70</v>
      </c>
      <c r="CH52" s="232"/>
    </row>
    <row r="53" spans="1:86" x14ac:dyDescent="0.25">
      <c r="A53" s="371"/>
      <c r="B53" s="372"/>
      <c r="C53" s="372"/>
      <c r="D53" s="373"/>
      <c r="E53" s="380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2"/>
      <c r="AN53" s="371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3"/>
      <c r="BN53" s="371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3"/>
      <c r="CC53" s="231"/>
      <c r="CD53" s="231"/>
      <c r="CE53" s="231"/>
      <c r="CF53" s="231"/>
      <c r="CG53" s="231"/>
      <c r="CH53" s="232"/>
    </row>
    <row r="54" spans="1:86" x14ac:dyDescent="0.25">
      <c r="A54" s="361">
        <v>1</v>
      </c>
      <c r="B54" s="361"/>
      <c r="C54" s="361"/>
      <c r="D54" s="361"/>
      <c r="E54" s="361">
        <v>2</v>
      </c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2">
        <v>3</v>
      </c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3"/>
      <c r="BM54" s="364"/>
      <c r="BN54" s="361">
        <v>4</v>
      </c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75">
        <v>5</v>
      </c>
      <c r="CD54" s="75">
        <v>6</v>
      </c>
      <c r="CE54" s="75">
        <v>7</v>
      </c>
      <c r="CF54" s="75">
        <v>8</v>
      </c>
      <c r="CG54" s="75">
        <v>9</v>
      </c>
      <c r="CH54" s="75">
        <v>10</v>
      </c>
    </row>
    <row r="55" spans="1:86" x14ac:dyDescent="0.25">
      <c r="A55" s="236">
        <v>1</v>
      </c>
      <c r="B55" s="236"/>
      <c r="C55" s="236"/>
      <c r="D55" s="236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234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58"/>
      <c r="BK55" s="358"/>
      <c r="BL55" s="358"/>
      <c r="BM55" s="235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83"/>
      <c r="CD55" s="141">
        <f>BN55</f>
        <v>0</v>
      </c>
      <c r="CE55" s="83"/>
      <c r="CF55" s="83"/>
      <c r="CG55" s="83"/>
      <c r="CH55" s="83"/>
    </row>
    <row r="56" spans="1:86" x14ac:dyDescent="0.25">
      <c r="A56" s="354"/>
      <c r="B56" s="354"/>
      <c r="C56" s="354"/>
      <c r="D56" s="354"/>
      <c r="E56" s="356" t="s">
        <v>188</v>
      </c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234" t="s">
        <v>1</v>
      </c>
      <c r="AO56" s="358"/>
      <c r="AP56" s="358"/>
      <c r="AQ56" s="358"/>
      <c r="AR56" s="358"/>
      <c r="AS56" s="358"/>
      <c r="AT56" s="358"/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358"/>
      <c r="BI56" s="358"/>
      <c r="BJ56" s="358"/>
      <c r="BK56" s="358"/>
      <c r="BL56" s="358"/>
      <c r="BM56" s="235"/>
      <c r="BN56" s="359">
        <f>BN55</f>
        <v>0</v>
      </c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83"/>
      <c r="CD56" s="142">
        <f>CD55</f>
        <v>0</v>
      </c>
      <c r="CE56" s="83"/>
      <c r="CF56" s="83"/>
      <c r="CG56" s="83"/>
      <c r="CH56" s="83"/>
    </row>
  </sheetData>
  <mergeCells count="154">
    <mergeCell ref="A56:D56"/>
    <mergeCell ref="E56:AM56"/>
    <mergeCell ref="AN56:BM56"/>
    <mergeCell ref="BN56:CB56"/>
    <mergeCell ref="A55:D55"/>
    <mergeCell ref="E55:AM55"/>
    <mergeCell ref="AN55:BM55"/>
    <mergeCell ref="BN55:CB55"/>
    <mergeCell ref="CD52:CD53"/>
    <mergeCell ref="CE52:CE53"/>
    <mergeCell ref="CF52:CF53"/>
    <mergeCell ref="A24:D24"/>
    <mergeCell ref="E24:AM24"/>
    <mergeCell ref="AN24:BA24"/>
    <mergeCell ref="BB24:BI24"/>
    <mergeCell ref="BJ24:CB24"/>
    <mergeCell ref="CH51:CH53"/>
    <mergeCell ref="CC52:CC53"/>
    <mergeCell ref="E44:AM44"/>
    <mergeCell ref="BN44:CB44"/>
    <mergeCell ref="CG52:CG53"/>
    <mergeCell ref="A54:D54"/>
    <mergeCell ref="E54:AM54"/>
    <mergeCell ref="AN54:BM54"/>
    <mergeCell ref="BN54:CB54"/>
    <mergeCell ref="A48:CH48"/>
    <mergeCell ref="A50:D53"/>
    <mergeCell ref="E50:AM53"/>
    <mergeCell ref="AN50:BM53"/>
    <mergeCell ref="BN50:CB53"/>
    <mergeCell ref="CC50:CH50"/>
    <mergeCell ref="A45:D45"/>
    <mergeCell ref="E45:AM45"/>
    <mergeCell ref="AN45:BM45"/>
    <mergeCell ref="BN45:CB45"/>
    <mergeCell ref="A41:D41"/>
    <mergeCell ref="E41:AM41"/>
    <mergeCell ref="A30:D30"/>
    <mergeCell ref="CC51:CD51"/>
    <mergeCell ref="CE51:CG51"/>
    <mergeCell ref="CF39:CF40"/>
    <mergeCell ref="E11:AM11"/>
    <mergeCell ref="AN11:BA11"/>
    <mergeCell ref="A31:AM31"/>
    <mergeCell ref="BN12:CB12"/>
    <mergeCell ref="BB12:BM12"/>
    <mergeCell ref="A44:D44"/>
    <mergeCell ref="BB10:BM10"/>
    <mergeCell ref="A9:D9"/>
    <mergeCell ref="E9:AM9"/>
    <mergeCell ref="AN9:BA9"/>
    <mergeCell ref="AN31:BA31"/>
    <mergeCell ref="BB31:BI31"/>
    <mergeCell ref="BJ31:CB31"/>
    <mergeCell ref="A12:AM12"/>
    <mergeCell ref="AN44:BM44"/>
    <mergeCell ref="BN11:CB11"/>
    <mergeCell ref="E37:AM40"/>
    <mergeCell ref="BN37:CB40"/>
    <mergeCell ref="A3:CH3"/>
    <mergeCell ref="AN37:BM40"/>
    <mergeCell ref="AN41:BM41"/>
    <mergeCell ref="BN41:CB41"/>
    <mergeCell ref="A25:AM25"/>
    <mergeCell ref="A42:D42"/>
    <mergeCell ref="E42:AM42"/>
    <mergeCell ref="BN42:CB42"/>
    <mergeCell ref="AN42:BM42"/>
    <mergeCell ref="A10:D10"/>
    <mergeCell ref="CG39:CG40"/>
    <mergeCell ref="AN18:BA21"/>
    <mergeCell ref="AN29:BA29"/>
    <mergeCell ref="BB29:BI29"/>
    <mergeCell ref="CC37:CH37"/>
    <mergeCell ref="BJ29:CB29"/>
    <mergeCell ref="BJ22:CB22"/>
    <mergeCell ref="CC38:CD38"/>
    <mergeCell ref="BB30:BI30"/>
    <mergeCell ref="BJ30:CB30"/>
    <mergeCell ref="CH38:CH40"/>
    <mergeCell ref="CC39:CC40"/>
    <mergeCell ref="CD39:CD40"/>
    <mergeCell ref="CE39:CE40"/>
    <mergeCell ref="E43:AM43"/>
    <mergeCell ref="BN43:CB43"/>
    <mergeCell ref="BJ27:CB27"/>
    <mergeCell ref="E18:AM21"/>
    <mergeCell ref="A43:D43"/>
    <mergeCell ref="AN43:BM43"/>
    <mergeCell ref="E10:AM10"/>
    <mergeCell ref="AN10:BA10"/>
    <mergeCell ref="AN12:BA12"/>
    <mergeCell ref="A37:D40"/>
    <mergeCell ref="A35:CH35"/>
    <mergeCell ref="CE38:CG38"/>
    <mergeCell ref="E30:AM30"/>
    <mergeCell ref="AN30:BA30"/>
    <mergeCell ref="AN5:BA8"/>
    <mergeCell ref="E26:AM26"/>
    <mergeCell ref="AN22:BA22"/>
    <mergeCell ref="BB23:BI23"/>
    <mergeCell ref="BJ23:CB23"/>
    <mergeCell ref="A27:AM27"/>
    <mergeCell ref="A29:AM29"/>
    <mergeCell ref="A28:D28"/>
    <mergeCell ref="E28:AM28"/>
    <mergeCell ref="AN26:BA26"/>
    <mergeCell ref="AN27:BA27"/>
    <mergeCell ref="A26:D26"/>
    <mergeCell ref="BB25:BI25"/>
    <mergeCell ref="AN28:BA28"/>
    <mergeCell ref="BB28:BI28"/>
    <mergeCell ref="BJ28:CB28"/>
    <mergeCell ref="BB27:BI27"/>
    <mergeCell ref="BJ26:CB26"/>
    <mergeCell ref="BJ25:CB25"/>
    <mergeCell ref="A11:D11"/>
    <mergeCell ref="CC19:CD19"/>
    <mergeCell ref="CC20:CC21"/>
    <mergeCell ref="BN10:CB10"/>
    <mergeCell ref="A5:D8"/>
    <mergeCell ref="E22:AM22"/>
    <mergeCell ref="AN25:BA25"/>
    <mergeCell ref="BB26:BI26"/>
    <mergeCell ref="BB22:BI22"/>
    <mergeCell ref="A18:D21"/>
    <mergeCell ref="CC6:CD6"/>
    <mergeCell ref="A23:D23"/>
    <mergeCell ref="E23:AM23"/>
    <mergeCell ref="AN23:BA23"/>
    <mergeCell ref="A22:D22"/>
    <mergeCell ref="BB9:BM9"/>
    <mergeCell ref="E5:AM8"/>
    <mergeCell ref="BB5:BM8"/>
    <mergeCell ref="BN5:CB8"/>
    <mergeCell ref="CG7:CG8"/>
    <mergeCell ref="CC5:CH5"/>
    <mergeCell ref="CE19:CG19"/>
    <mergeCell ref="CE6:CG6"/>
    <mergeCell ref="CH6:CH8"/>
    <mergeCell ref="CD20:CD21"/>
    <mergeCell ref="CE20:CE21"/>
    <mergeCell ref="CH19:CH21"/>
    <mergeCell ref="BB18:BI21"/>
    <mergeCell ref="BJ18:CB21"/>
    <mergeCell ref="CC7:CC8"/>
    <mergeCell ref="CF20:CF21"/>
    <mergeCell ref="CC18:CH18"/>
    <mergeCell ref="BB11:BM11"/>
    <mergeCell ref="BN9:CB9"/>
    <mergeCell ref="CG20:CG21"/>
    <mergeCell ref="CD7:CD8"/>
    <mergeCell ref="CE7:CE8"/>
    <mergeCell ref="CF7:CF8"/>
  </mergeCells>
  <pageMargins left="0.78740157480314965" right="0.39370078740157483" top="0.59055118110236227" bottom="0.39370078740157483" header="0.27559055118110237" footer="0.27559055118110237"/>
  <pageSetup paperSize="9" scale="8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H23"/>
  <sheetViews>
    <sheetView tabSelected="1" workbookViewId="0">
      <selection activeCell="CE11" sqref="CE11"/>
    </sheetView>
  </sheetViews>
  <sheetFormatPr defaultColWidth="1.109375" defaultRowHeight="13.2" x14ac:dyDescent="0.25"/>
  <cols>
    <col min="1" max="1" width="2.109375" style="71" bestFit="1" customWidth="1"/>
    <col min="2" max="32" width="1.109375" style="71"/>
    <col min="33" max="33" width="0.44140625" style="71" customWidth="1"/>
    <col min="34" max="37" width="1.109375" style="71" hidden="1" customWidth="1"/>
    <col min="38" max="80" width="1.109375" style="71"/>
    <col min="81" max="83" width="9.44140625" style="71" customWidth="1"/>
    <col min="84" max="84" width="9.109375" style="71" customWidth="1"/>
    <col min="85" max="85" width="13.88671875" style="71" customWidth="1"/>
    <col min="86" max="86" width="15.109375" style="71" customWidth="1"/>
    <col min="87" max="16384" width="1.109375" style="71"/>
  </cols>
  <sheetData>
    <row r="1" spans="1:86" ht="36.75" customHeight="1" x14ac:dyDescent="0.3">
      <c r="A1" s="245" t="s">
        <v>198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</row>
    <row r="3" spans="1:86" s="65" customFormat="1" ht="15.6" x14ac:dyDescent="0.3">
      <c r="A3" s="70" t="s">
        <v>199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4" spans="1:86" s="67" customFormat="1" ht="7.8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6" ht="12.75" customHeight="1" x14ac:dyDescent="0.25">
      <c r="A5" s="365" t="s">
        <v>56</v>
      </c>
      <c r="B5" s="366"/>
      <c r="C5" s="366"/>
      <c r="D5" s="367"/>
      <c r="E5" s="374" t="s">
        <v>110</v>
      </c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6"/>
      <c r="AN5" s="365" t="s">
        <v>200</v>
      </c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7"/>
      <c r="BD5" s="365" t="s">
        <v>201</v>
      </c>
      <c r="BE5" s="366"/>
      <c r="BF5" s="366"/>
      <c r="BG5" s="366"/>
      <c r="BH5" s="366"/>
      <c r="BI5" s="366"/>
      <c r="BJ5" s="366"/>
      <c r="BK5" s="366"/>
      <c r="BL5" s="366"/>
      <c r="BM5" s="367"/>
      <c r="BN5" s="365" t="s">
        <v>202</v>
      </c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7"/>
      <c r="CC5" s="234" t="s">
        <v>61</v>
      </c>
      <c r="CD5" s="358"/>
      <c r="CE5" s="358"/>
      <c r="CF5" s="358"/>
      <c r="CG5" s="358"/>
      <c r="CH5" s="235"/>
    </row>
    <row r="6" spans="1:86" ht="78.75" customHeight="1" x14ac:dyDescent="0.25">
      <c r="A6" s="368"/>
      <c r="B6" s="369"/>
      <c r="C6" s="369"/>
      <c r="D6" s="370"/>
      <c r="E6" s="377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9"/>
      <c r="AN6" s="368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70"/>
      <c r="BD6" s="368"/>
      <c r="BE6" s="369"/>
      <c r="BF6" s="369"/>
      <c r="BG6" s="369"/>
      <c r="BH6" s="369"/>
      <c r="BI6" s="369"/>
      <c r="BJ6" s="369"/>
      <c r="BK6" s="369"/>
      <c r="BL6" s="369"/>
      <c r="BM6" s="370"/>
      <c r="BN6" s="368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70"/>
      <c r="CC6" s="239" t="s">
        <v>66</v>
      </c>
      <c r="CD6" s="241"/>
      <c r="CE6" s="239" t="s">
        <v>67</v>
      </c>
      <c r="CF6" s="240"/>
      <c r="CG6" s="241"/>
      <c r="CH6" s="384" t="s">
        <v>68</v>
      </c>
    </row>
    <row r="7" spans="1:86" ht="12.75" customHeight="1" x14ac:dyDescent="0.25">
      <c r="A7" s="368"/>
      <c r="B7" s="369"/>
      <c r="C7" s="369"/>
      <c r="D7" s="370"/>
      <c r="E7" s="377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9"/>
      <c r="AN7" s="368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70"/>
      <c r="BD7" s="368"/>
      <c r="BE7" s="369"/>
      <c r="BF7" s="369"/>
      <c r="BG7" s="369"/>
      <c r="BH7" s="369"/>
      <c r="BI7" s="369"/>
      <c r="BJ7" s="369"/>
      <c r="BK7" s="369"/>
      <c r="BL7" s="369"/>
      <c r="BM7" s="370"/>
      <c r="BN7" s="368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70"/>
      <c r="CC7" s="387" t="s">
        <v>69</v>
      </c>
      <c r="CD7" s="387" t="s">
        <v>70</v>
      </c>
      <c r="CE7" s="387" t="s">
        <v>71</v>
      </c>
      <c r="CF7" s="387" t="s">
        <v>69</v>
      </c>
      <c r="CG7" s="387" t="s">
        <v>70</v>
      </c>
      <c r="CH7" s="385"/>
    </row>
    <row r="8" spans="1:86" ht="12.75" customHeight="1" x14ac:dyDescent="0.25">
      <c r="A8" s="371"/>
      <c r="B8" s="372"/>
      <c r="C8" s="372"/>
      <c r="D8" s="373"/>
      <c r="E8" s="380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371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3"/>
      <c r="BD8" s="371"/>
      <c r="BE8" s="372"/>
      <c r="BF8" s="372"/>
      <c r="BG8" s="372"/>
      <c r="BH8" s="372"/>
      <c r="BI8" s="372"/>
      <c r="BJ8" s="372"/>
      <c r="BK8" s="372"/>
      <c r="BL8" s="372"/>
      <c r="BM8" s="373"/>
      <c r="BN8" s="371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3"/>
      <c r="CC8" s="388"/>
      <c r="CD8" s="388"/>
      <c r="CE8" s="388"/>
      <c r="CF8" s="388"/>
      <c r="CG8" s="388"/>
      <c r="CH8" s="386"/>
    </row>
    <row r="9" spans="1:86" x14ac:dyDescent="0.25">
      <c r="A9" s="362">
        <v>1</v>
      </c>
      <c r="B9" s="363"/>
      <c r="C9" s="363"/>
      <c r="D9" s="364"/>
      <c r="E9" s="362">
        <v>2</v>
      </c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4"/>
      <c r="AN9" s="362">
        <v>3</v>
      </c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4"/>
      <c r="BD9" s="362">
        <v>4</v>
      </c>
      <c r="BE9" s="363"/>
      <c r="BF9" s="363"/>
      <c r="BG9" s="363"/>
      <c r="BH9" s="363"/>
      <c r="BI9" s="363"/>
      <c r="BJ9" s="363"/>
      <c r="BK9" s="363"/>
      <c r="BL9" s="363"/>
      <c r="BM9" s="364"/>
      <c r="BN9" s="362" t="s">
        <v>114</v>
      </c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4"/>
      <c r="CC9" s="73">
        <v>6</v>
      </c>
      <c r="CD9" s="73">
        <v>7</v>
      </c>
      <c r="CE9" s="73">
        <v>8</v>
      </c>
      <c r="CF9" s="73">
        <v>9</v>
      </c>
      <c r="CG9" s="73">
        <v>10</v>
      </c>
      <c r="CH9" s="73">
        <v>11</v>
      </c>
    </row>
    <row r="10" spans="1:86" x14ac:dyDescent="0.25">
      <c r="A10" s="234">
        <v>1</v>
      </c>
      <c r="B10" s="358"/>
      <c r="C10" s="358"/>
      <c r="D10" s="235"/>
      <c r="E10" s="392" t="s">
        <v>203</v>
      </c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4"/>
      <c r="AN10" s="389">
        <v>0</v>
      </c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1"/>
      <c r="BD10" s="228">
        <v>1</v>
      </c>
      <c r="BE10" s="229"/>
      <c r="BF10" s="229"/>
      <c r="BG10" s="229"/>
      <c r="BH10" s="229"/>
      <c r="BI10" s="229"/>
      <c r="BJ10" s="229"/>
      <c r="BK10" s="229"/>
      <c r="BL10" s="229"/>
      <c r="BM10" s="230"/>
      <c r="BN10" s="389">
        <f>AN10*BD10</f>
        <v>0</v>
      </c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1"/>
      <c r="CC10" s="83"/>
      <c r="CD10" s="83"/>
      <c r="CE10" s="83"/>
      <c r="CF10" s="83"/>
      <c r="CG10" s="133">
        <f>BN10</f>
        <v>0</v>
      </c>
      <c r="CH10" s="83"/>
    </row>
    <row r="11" spans="1:86" x14ac:dyDescent="0.25">
      <c r="A11" s="398" t="s">
        <v>204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7"/>
      <c r="AN11" s="234" t="s">
        <v>1</v>
      </c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235"/>
      <c r="BD11" s="234" t="s">
        <v>1</v>
      </c>
      <c r="BE11" s="358"/>
      <c r="BF11" s="358"/>
      <c r="BG11" s="358"/>
      <c r="BH11" s="358"/>
      <c r="BI11" s="358"/>
      <c r="BJ11" s="358"/>
      <c r="BK11" s="358"/>
      <c r="BL11" s="358"/>
      <c r="BM11" s="235"/>
      <c r="BN11" s="395">
        <f>SUM(BN10:CB10)</f>
        <v>0</v>
      </c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7"/>
      <c r="CC11" s="83"/>
      <c r="CD11" s="83"/>
      <c r="CE11" s="83"/>
      <c r="CF11" s="83"/>
      <c r="CG11" s="135">
        <f>SUM(CG10:CG10)</f>
        <v>0</v>
      </c>
      <c r="CH11" s="83"/>
    </row>
    <row r="12" spans="1:86" s="90" customFormat="1" ht="15.6" x14ac:dyDescent="0.3"/>
    <row r="13" spans="1:86" s="65" customFormat="1" ht="15.6" x14ac:dyDescent="0.3">
      <c r="A13" s="70" t="s">
        <v>205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</row>
    <row r="14" spans="1:86" s="67" customFormat="1" ht="7.8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6" x14ac:dyDescent="0.25">
      <c r="A15" s="232" t="s">
        <v>56</v>
      </c>
      <c r="B15" s="232"/>
      <c r="C15" s="232"/>
      <c r="D15" s="232"/>
      <c r="E15" s="361" t="s">
        <v>110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5" t="s">
        <v>200</v>
      </c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7"/>
      <c r="BD15" s="365" t="s">
        <v>201</v>
      </c>
      <c r="BE15" s="366"/>
      <c r="BF15" s="366"/>
      <c r="BG15" s="366"/>
      <c r="BH15" s="366"/>
      <c r="BI15" s="366"/>
      <c r="BJ15" s="366"/>
      <c r="BK15" s="366"/>
      <c r="BL15" s="366"/>
      <c r="BM15" s="367"/>
      <c r="BN15" s="365" t="s">
        <v>202</v>
      </c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7"/>
      <c r="CC15" s="236" t="s">
        <v>61</v>
      </c>
      <c r="CD15" s="236"/>
      <c r="CE15" s="236"/>
      <c r="CF15" s="236"/>
      <c r="CG15" s="236"/>
      <c r="CH15" s="236"/>
    </row>
    <row r="16" spans="1:86" ht="83.25" customHeight="1" x14ac:dyDescent="0.25">
      <c r="A16" s="232"/>
      <c r="B16" s="232"/>
      <c r="C16" s="232"/>
      <c r="D16" s="232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8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70"/>
      <c r="BD16" s="368"/>
      <c r="BE16" s="369"/>
      <c r="BF16" s="369"/>
      <c r="BG16" s="369"/>
      <c r="BH16" s="369"/>
      <c r="BI16" s="369"/>
      <c r="BJ16" s="369"/>
      <c r="BK16" s="369"/>
      <c r="BL16" s="369"/>
      <c r="BM16" s="370"/>
      <c r="BN16" s="368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70"/>
      <c r="CC16" s="232" t="s">
        <v>66</v>
      </c>
      <c r="CD16" s="232"/>
      <c r="CE16" s="239" t="s">
        <v>67</v>
      </c>
      <c r="CF16" s="240"/>
      <c r="CG16" s="241"/>
      <c r="CH16" s="384" t="s">
        <v>68</v>
      </c>
    </row>
    <row r="17" spans="1:86" ht="12.75" customHeight="1" x14ac:dyDescent="0.25">
      <c r="A17" s="232"/>
      <c r="B17" s="232"/>
      <c r="C17" s="232"/>
      <c r="D17" s="232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8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70"/>
      <c r="BD17" s="368"/>
      <c r="BE17" s="369"/>
      <c r="BF17" s="369"/>
      <c r="BG17" s="369"/>
      <c r="BH17" s="369"/>
      <c r="BI17" s="369"/>
      <c r="BJ17" s="369"/>
      <c r="BK17" s="369"/>
      <c r="BL17" s="369"/>
      <c r="BM17" s="370"/>
      <c r="BN17" s="368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0"/>
      <c r="CC17" s="231" t="s">
        <v>69</v>
      </c>
      <c r="CD17" s="231" t="s">
        <v>70</v>
      </c>
      <c r="CE17" s="387" t="s">
        <v>71</v>
      </c>
      <c r="CF17" s="231" t="s">
        <v>69</v>
      </c>
      <c r="CG17" s="231" t="s">
        <v>70</v>
      </c>
      <c r="CH17" s="385"/>
    </row>
    <row r="18" spans="1:86" x14ac:dyDescent="0.25">
      <c r="A18" s="232"/>
      <c r="B18" s="232"/>
      <c r="C18" s="232"/>
      <c r="D18" s="232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71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3"/>
      <c r="BD18" s="371"/>
      <c r="BE18" s="372"/>
      <c r="BF18" s="372"/>
      <c r="BG18" s="372"/>
      <c r="BH18" s="372"/>
      <c r="BI18" s="372"/>
      <c r="BJ18" s="372"/>
      <c r="BK18" s="372"/>
      <c r="BL18" s="372"/>
      <c r="BM18" s="373"/>
      <c r="BN18" s="371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3"/>
      <c r="CC18" s="231"/>
      <c r="CD18" s="231"/>
      <c r="CE18" s="388"/>
      <c r="CF18" s="231"/>
      <c r="CG18" s="231"/>
      <c r="CH18" s="386"/>
    </row>
    <row r="19" spans="1:86" x14ac:dyDescent="0.25">
      <c r="A19" s="361">
        <v>1</v>
      </c>
      <c r="B19" s="361"/>
      <c r="C19" s="361"/>
      <c r="D19" s="361"/>
      <c r="E19" s="361">
        <v>2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>
        <v>3</v>
      </c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>
        <v>4</v>
      </c>
      <c r="BE19" s="361"/>
      <c r="BF19" s="361"/>
      <c r="BG19" s="361"/>
      <c r="BH19" s="361"/>
      <c r="BI19" s="361"/>
      <c r="BJ19" s="361"/>
      <c r="BK19" s="361"/>
      <c r="BL19" s="361"/>
      <c r="BM19" s="361"/>
      <c r="BN19" s="361" t="s">
        <v>114</v>
      </c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73">
        <v>6</v>
      </c>
      <c r="CD19" s="73">
        <v>7</v>
      </c>
      <c r="CE19" s="73">
        <v>8</v>
      </c>
      <c r="CF19" s="73">
        <v>9</v>
      </c>
      <c r="CG19" s="73">
        <v>10</v>
      </c>
      <c r="CH19" s="73">
        <v>11</v>
      </c>
    </row>
    <row r="20" spans="1:86" x14ac:dyDescent="0.25">
      <c r="A20" s="354"/>
      <c r="B20" s="354"/>
      <c r="C20" s="354"/>
      <c r="D20" s="354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83"/>
      <c r="CD20" s="83"/>
      <c r="CE20" s="83"/>
      <c r="CF20" s="83"/>
      <c r="CG20" s="83"/>
      <c r="CH20" s="83"/>
    </row>
    <row r="21" spans="1:86" x14ac:dyDescent="0.25">
      <c r="A21" s="354"/>
      <c r="B21" s="354"/>
      <c r="C21" s="354"/>
      <c r="D21" s="354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83"/>
      <c r="CD21" s="83"/>
      <c r="CE21" s="83"/>
      <c r="CF21" s="83"/>
      <c r="CG21" s="83"/>
      <c r="CH21" s="83"/>
    </row>
    <row r="22" spans="1:86" x14ac:dyDescent="0.25">
      <c r="A22" s="228" t="s">
        <v>128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30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 t="s">
        <v>1</v>
      </c>
      <c r="BE22" s="236"/>
      <c r="BF22" s="236"/>
      <c r="BG22" s="236"/>
      <c r="BH22" s="236"/>
      <c r="BI22" s="236"/>
      <c r="BJ22" s="236"/>
      <c r="BK22" s="236"/>
      <c r="BL22" s="236"/>
      <c r="BM22" s="23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83"/>
      <c r="CD22" s="83"/>
      <c r="CE22" s="83"/>
      <c r="CF22" s="83"/>
      <c r="CG22" s="83"/>
      <c r="CH22" s="83"/>
    </row>
    <row r="23" spans="1:86" s="90" customFormat="1" ht="15.6" x14ac:dyDescent="0.3"/>
  </sheetData>
  <mergeCells count="62">
    <mergeCell ref="A9:D9"/>
    <mergeCell ref="AN9:BC9"/>
    <mergeCell ref="BD9:BM9"/>
    <mergeCell ref="BN9:CB9"/>
    <mergeCell ref="E9:AM9"/>
    <mergeCell ref="CH16:CH18"/>
    <mergeCell ref="CC17:CC18"/>
    <mergeCell ref="CD17:CD18"/>
    <mergeCell ref="CE17:CE18"/>
    <mergeCell ref="BD15:BM18"/>
    <mergeCell ref="BN15:CB18"/>
    <mergeCell ref="CG17:CG18"/>
    <mergeCell ref="CC15:CH15"/>
    <mergeCell ref="CC16:CD16"/>
    <mergeCell ref="CF17:CF18"/>
    <mergeCell ref="E21:AN21"/>
    <mergeCell ref="AO21:BC21"/>
    <mergeCell ref="BD21:BM21"/>
    <mergeCell ref="BN21:CB21"/>
    <mergeCell ref="E20:AN20"/>
    <mergeCell ref="AO20:BC20"/>
    <mergeCell ref="BD20:BM20"/>
    <mergeCell ref="BN20:CB20"/>
    <mergeCell ref="E15:AN18"/>
    <mergeCell ref="AO15:BC18"/>
    <mergeCell ref="E19:AN19"/>
    <mergeCell ref="AO19:BC19"/>
    <mergeCell ref="CE16:CG16"/>
    <mergeCell ref="A22:AN22"/>
    <mergeCell ref="AO22:BC22"/>
    <mergeCell ref="BD22:BM22"/>
    <mergeCell ref="BN22:CB22"/>
    <mergeCell ref="A20:D20"/>
    <mergeCell ref="A1:CH1"/>
    <mergeCell ref="CG7:CG8"/>
    <mergeCell ref="A5:D8"/>
    <mergeCell ref="E5:AM8"/>
    <mergeCell ref="AN5:BC8"/>
    <mergeCell ref="CC5:CH5"/>
    <mergeCell ref="CC6:CD6"/>
    <mergeCell ref="CE6:CG6"/>
    <mergeCell ref="CH6:CH8"/>
    <mergeCell ref="CC7:CC8"/>
    <mergeCell ref="CD7:CD8"/>
    <mergeCell ref="CE7:CE8"/>
    <mergeCell ref="CF7:CF8"/>
    <mergeCell ref="BD5:BM8"/>
    <mergeCell ref="BN5:CB8"/>
    <mergeCell ref="A21:D21"/>
    <mergeCell ref="BN10:CB10"/>
    <mergeCell ref="BD10:BM10"/>
    <mergeCell ref="AN10:BC10"/>
    <mergeCell ref="E10:AM10"/>
    <mergeCell ref="BD19:BM19"/>
    <mergeCell ref="BN19:CB19"/>
    <mergeCell ref="BD11:BM11"/>
    <mergeCell ref="BN11:CB11"/>
    <mergeCell ref="A11:AM11"/>
    <mergeCell ref="A15:D18"/>
    <mergeCell ref="A19:D19"/>
    <mergeCell ref="AN11:BC11"/>
    <mergeCell ref="A10:D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1DEF"/>
  </sheetPr>
  <dimension ref="A1:CH45"/>
  <sheetViews>
    <sheetView workbookViewId="0">
      <selection activeCell="BO38" sqref="BO38:CB41"/>
    </sheetView>
  </sheetViews>
  <sheetFormatPr defaultColWidth="1.109375" defaultRowHeight="13.2" x14ac:dyDescent="0.25"/>
  <cols>
    <col min="1" max="18" width="1.109375" style="71"/>
    <col min="19" max="19" width="2.109375" style="71" customWidth="1"/>
    <col min="20" max="33" width="1.109375" style="71"/>
    <col min="34" max="34" width="0.33203125" style="71" customWidth="1"/>
    <col min="35" max="35" width="2.88671875" style="71" hidden="1" customWidth="1"/>
    <col min="36" max="80" width="1.109375" style="71"/>
    <col min="81" max="81" width="10.109375" style="71" customWidth="1"/>
    <col min="82" max="82" width="11" style="71" customWidth="1"/>
    <col min="83" max="83" width="8.5546875" style="71" customWidth="1"/>
    <col min="84" max="84" width="9.88671875" style="71" customWidth="1"/>
    <col min="85" max="85" width="8.6640625" style="71" customWidth="1"/>
    <col min="86" max="86" width="15.109375" style="71" customWidth="1"/>
    <col min="87" max="16384" width="1.109375" style="71"/>
  </cols>
  <sheetData>
    <row r="1" spans="1:86" s="65" customFormat="1" ht="15.6" x14ac:dyDescent="0.3">
      <c r="A1" s="70" t="s">
        <v>206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6" s="67" customFormat="1" ht="7.8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6" s="65" customFormat="1" ht="15.6" x14ac:dyDescent="0.3">
      <c r="A3" s="70" t="s">
        <v>207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5" spans="1:86" ht="12.75" customHeight="1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232" t="s">
        <v>208</v>
      </c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 t="s">
        <v>201</v>
      </c>
      <c r="AV5" s="232"/>
      <c r="AW5" s="232"/>
      <c r="AX5" s="232"/>
      <c r="AY5" s="232"/>
      <c r="AZ5" s="232"/>
      <c r="BA5" s="232"/>
      <c r="BB5" s="232"/>
      <c r="BC5" s="232"/>
      <c r="BD5" s="232"/>
      <c r="BE5" s="232" t="s">
        <v>209</v>
      </c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361" t="s">
        <v>113</v>
      </c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236" t="s">
        <v>61</v>
      </c>
      <c r="CD5" s="236"/>
      <c r="CE5" s="236"/>
      <c r="CF5" s="236"/>
      <c r="CG5" s="236"/>
      <c r="CH5" s="236"/>
    </row>
    <row r="6" spans="1:86" ht="78.7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232" t="s">
        <v>66</v>
      </c>
      <c r="CD6" s="232"/>
      <c r="CE6" s="239" t="s">
        <v>67</v>
      </c>
      <c r="CF6" s="240"/>
      <c r="CG6" s="241"/>
      <c r="CH6" s="232" t="s">
        <v>68</v>
      </c>
    </row>
    <row r="7" spans="1:86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231" t="s">
        <v>69</v>
      </c>
      <c r="CD7" s="231" t="s">
        <v>70</v>
      </c>
      <c r="CE7" s="387" t="s">
        <v>71</v>
      </c>
      <c r="CF7" s="231" t="s">
        <v>69</v>
      </c>
      <c r="CG7" s="231" t="s">
        <v>70</v>
      </c>
      <c r="CH7" s="232"/>
    </row>
    <row r="8" spans="1:86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231"/>
      <c r="CD8" s="231"/>
      <c r="CE8" s="388"/>
      <c r="CF8" s="231"/>
      <c r="CG8" s="231"/>
      <c r="CH8" s="232"/>
    </row>
    <row r="9" spans="1:86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>
        <v>3</v>
      </c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>
        <v>4</v>
      </c>
      <c r="AV9" s="361"/>
      <c r="AW9" s="361"/>
      <c r="AX9" s="361"/>
      <c r="AY9" s="361"/>
      <c r="AZ9" s="361"/>
      <c r="BA9" s="361"/>
      <c r="BB9" s="361"/>
      <c r="BC9" s="361"/>
      <c r="BD9" s="361"/>
      <c r="BE9" s="361">
        <v>5</v>
      </c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 t="s">
        <v>124</v>
      </c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73">
        <v>7</v>
      </c>
      <c r="CD9" s="73">
        <v>8</v>
      </c>
      <c r="CE9" s="73">
        <v>9</v>
      </c>
      <c r="CF9" s="73">
        <v>10</v>
      </c>
      <c r="CG9" s="73">
        <v>11</v>
      </c>
      <c r="CH9" s="73">
        <v>12</v>
      </c>
    </row>
    <row r="10" spans="1:86" ht="27" customHeight="1" x14ac:dyDescent="0.25">
      <c r="A10" s="354">
        <v>1</v>
      </c>
      <c r="B10" s="354"/>
      <c r="C10" s="354"/>
      <c r="D10" s="354"/>
      <c r="E10" s="355" t="s">
        <v>210</v>
      </c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6">
        <v>0</v>
      </c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>
        <v>0</v>
      </c>
      <c r="AV10" s="356"/>
      <c r="AW10" s="356"/>
      <c r="AX10" s="356"/>
      <c r="AY10" s="356"/>
      <c r="AZ10" s="356"/>
      <c r="BA10" s="356"/>
      <c r="BB10" s="356"/>
      <c r="BC10" s="356"/>
      <c r="BD10" s="356"/>
      <c r="BE10" s="356">
        <v>30</v>
      </c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400">
        <f>AJ10*AU10*BE10</f>
        <v>0</v>
      </c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88"/>
      <c r="CD10" s="88">
        <f>BP10</f>
        <v>0</v>
      </c>
      <c r="CE10" s="83"/>
      <c r="CF10" s="83"/>
      <c r="CG10" s="83"/>
      <c r="CH10" s="83"/>
    </row>
    <row r="11" spans="1:86" ht="26.4" customHeight="1" x14ac:dyDescent="0.25">
      <c r="A11" s="354">
        <v>3</v>
      </c>
      <c r="B11" s="354"/>
      <c r="C11" s="354"/>
      <c r="D11" s="354"/>
      <c r="E11" s="355" t="s">
        <v>211</v>
      </c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6">
        <v>0</v>
      </c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>
        <v>0</v>
      </c>
      <c r="AV11" s="356"/>
      <c r="AW11" s="356"/>
      <c r="AX11" s="356"/>
      <c r="AY11" s="356"/>
      <c r="AZ11" s="356"/>
      <c r="BA11" s="356"/>
      <c r="BB11" s="356"/>
      <c r="BC11" s="356"/>
      <c r="BD11" s="356"/>
      <c r="BE11" s="400">
        <v>247.8</v>
      </c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>
        <f>AU11*BE11*AJ11</f>
        <v>0</v>
      </c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88"/>
      <c r="CD11" s="88">
        <f>BP11</f>
        <v>0</v>
      </c>
      <c r="CE11" s="83"/>
      <c r="CF11" s="83"/>
      <c r="CG11" s="83"/>
      <c r="CH11" s="83"/>
    </row>
    <row r="12" spans="1:86" ht="27" customHeight="1" x14ac:dyDescent="0.25">
      <c r="A12" s="354">
        <v>9</v>
      </c>
      <c r="B12" s="354"/>
      <c r="C12" s="354"/>
      <c r="D12" s="354"/>
      <c r="E12" s="355" t="s">
        <v>212</v>
      </c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6">
        <v>0</v>
      </c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>
        <v>0</v>
      </c>
      <c r="AV12" s="356"/>
      <c r="AW12" s="356"/>
      <c r="AX12" s="356"/>
      <c r="AY12" s="356"/>
      <c r="AZ12" s="356"/>
      <c r="BA12" s="356"/>
      <c r="BB12" s="356"/>
      <c r="BC12" s="356"/>
      <c r="BD12" s="356"/>
      <c r="BE12" s="400">
        <v>5650</v>
      </c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>
        <f>AU12*BE12</f>
        <v>0</v>
      </c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88"/>
      <c r="CD12" s="88">
        <f>BP12</f>
        <v>0</v>
      </c>
      <c r="CE12" s="83"/>
      <c r="CF12" s="83"/>
      <c r="CG12" s="83"/>
      <c r="CH12" s="83"/>
    </row>
    <row r="13" spans="1:86" x14ac:dyDescent="0.25">
      <c r="A13" s="398" t="s">
        <v>214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7"/>
      <c r="AJ13" s="236" t="s">
        <v>1</v>
      </c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 t="s">
        <v>1</v>
      </c>
      <c r="AV13" s="236"/>
      <c r="AW13" s="236"/>
      <c r="AX13" s="236"/>
      <c r="AY13" s="236"/>
      <c r="AZ13" s="236"/>
      <c r="BA13" s="236"/>
      <c r="BB13" s="236"/>
      <c r="BC13" s="236"/>
      <c r="BD13" s="236"/>
      <c r="BE13" s="236" t="s">
        <v>1</v>
      </c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403">
        <f>SUM(BP10:BP12)</f>
        <v>0</v>
      </c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89">
        <f>SUM(CC11:CC12)</f>
        <v>0</v>
      </c>
      <c r="CD13" s="89">
        <f>SUM(CD10:CD12)</f>
        <v>0</v>
      </c>
      <c r="CE13" s="83"/>
      <c r="CF13" s="83"/>
      <c r="CG13" s="83"/>
      <c r="CH13" s="83"/>
    </row>
    <row r="14" spans="1:86" ht="111" customHeight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45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6"/>
      <c r="CD14" s="146"/>
      <c r="CE14" s="137"/>
      <c r="CF14" s="137"/>
      <c r="CG14" s="137"/>
      <c r="CH14" s="137"/>
    </row>
    <row r="15" spans="1:86" s="65" customFormat="1" ht="15.6" x14ac:dyDescent="0.3">
      <c r="A15" s="70" t="s">
        <v>215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</row>
    <row r="17" spans="1:86" x14ac:dyDescent="0.25">
      <c r="A17" s="232" t="s">
        <v>56</v>
      </c>
      <c r="B17" s="232"/>
      <c r="C17" s="232"/>
      <c r="D17" s="232"/>
      <c r="E17" s="361" t="s">
        <v>110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232" t="s">
        <v>216</v>
      </c>
      <c r="AO17" s="232"/>
      <c r="AP17" s="232"/>
      <c r="AQ17" s="232"/>
      <c r="AR17" s="232"/>
      <c r="AS17" s="232"/>
      <c r="AT17" s="232"/>
      <c r="AU17" s="232"/>
      <c r="AV17" s="232"/>
      <c r="AW17" s="232" t="s">
        <v>217</v>
      </c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361" t="s">
        <v>113</v>
      </c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236" t="s">
        <v>61</v>
      </c>
      <c r="CD17" s="236"/>
      <c r="CE17" s="236"/>
      <c r="CF17" s="236"/>
      <c r="CG17" s="236"/>
      <c r="CH17" s="236"/>
    </row>
    <row r="18" spans="1:86" ht="80.25" customHeight="1" x14ac:dyDescent="0.25">
      <c r="A18" s="232"/>
      <c r="B18" s="232"/>
      <c r="C18" s="232"/>
      <c r="D18" s="232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232" t="s">
        <v>66</v>
      </c>
      <c r="CD18" s="232"/>
      <c r="CE18" s="232" t="s">
        <v>67</v>
      </c>
      <c r="CF18" s="232"/>
      <c r="CG18" s="232"/>
      <c r="CH18" s="232" t="s">
        <v>68</v>
      </c>
    </row>
    <row r="19" spans="1:86" x14ac:dyDescent="0.25">
      <c r="A19" s="232"/>
      <c r="B19" s="232"/>
      <c r="C19" s="232"/>
      <c r="D19" s="232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231" t="s">
        <v>69</v>
      </c>
      <c r="CD19" s="231" t="s">
        <v>70</v>
      </c>
      <c r="CE19" s="231" t="s">
        <v>71</v>
      </c>
      <c r="CF19" s="231" t="s">
        <v>69</v>
      </c>
      <c r="CG19" s="231" t="s">
        <v>70</v>
      </c>
      <c r="CH19" s="232"/>
    </row>
    <row r="20" spans="1:86" x14ac:dyDescent="0.25">
      <c r="A20" s="232"/>
      <c r="B20" s="232"/>
      <c r="C20" s="232"/>
      <c r="D20" s="232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231"/>
      <c r="CD20" s="231"/>
      <c r="CE20" s="231"/>
      <c r="CF20" s="231"/>
      <c r="CG20" s="231"/>
      <c r="CH20" s="232"/>
    </row>
    <row r="21" spans="1:86" x14ac:dyDescent="0.25">
      <c r="A21" s="361">
        <v>1</v>
      </c>
      <c r="B21" s="361"/>
      <c r="C21" s="361"/>
      <c r="D21" s="361"/>
      <c r="E21" s="361">
        <v>2</v>
      </c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>
        <v>3</v>
      </c>
      <c r="AO21" s="361"/>
      <c r="AP21" s="361"/>
      <c r="AQ21" s="361"/>
      <c r="AR21" s="361"/>
      <c r="AS21" s="361"/>
      <c r="AT21" s="361"/>
      <c r="AU21" s="361"/>
      <c r="AV21" s="361"/>
      <c r="AW21" s="361">
        <v>4</v>
      </c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 t="s">
        <v>114</v>
      </c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73">
        <v>6</v>
      </c>
      <c r="CD21" s="73">
        <v>7</v>
      </c>
      <c r="CE21" s="73">
        <v>8</v>
      </c>
      <c r="CF21" s="73">
        <v>9</v>
      </c>
      <c r="CG21" s="73">
        <v>10</v>
      </c>
      <c r="CH21" s="73">
        <v>11</v>
      </c>
    </row>
    <row r="22" spans="1:86" x14ac:dyDescent="0.25">
      <c r="A22" s="354">
        <v>1</v>
      </c>
      <c r="B22" s="354"/>
      <c r="C22" s="354"/>
      <c r="D22" s="354"/>
      <c r="E22" s="354" t="s">
        <v>218</v>
      </c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6">
        <v>0</v>
      </c>
      <c r="AO22" s="356"/>
      <c r="AP22" s="356"/>
      <c r="AQ22" s="356"/>
      <c r="AR22" s="356"/>
      <c r="AS22" s="356"/>
      <c r="AT22" s="356"/>
      <c r="AU22" s="356"/>
      <c r="AV22" s="356"/>
      <c r="AW22" s="357">
        <v>0</v>
      </c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89">
        <f>AN22*AW22</f>
        <v>0</v>
      </c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1"/>
      <c r="CC22" s="133"/>
      <c r="CD22" s="131">
        <v>0</v>
      </c>
      <c r="CE22" s="133"/>
      <c r="CF22" s="133"/>
      <c r="CG22" s="133"/>
      <c r="CH22" s="131">
        <f>BJ22</f>
        <v>0</v>
      </c>
    </row>
    <row r="23" spans="1:86" x14ac:dyDescent="0.25">
      <c r="A23" s="398" t="s">
        <v>219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7"/>
      <c r="AN23" s="356"/>
      <c r="AO23" s="356"/>
      <c r="AP23" s="356"/>
      <c r="AQ23" s="356"/>
      <c r="AR23" s="356"/>
      <c r="AS23" s="356"/>
      <c r="AT23" s="356"/>
      <c r="AU23" s="356"/>
      <c r="AV23" s="356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83">
        <f>SUM(BJ22:CB22)</f>
        <v>0</v>
      </c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133"/>
      <c r="CD23" s="134">
        <f>SUM(CD22:CD22)</f>
        <v>0</v>
      </c>
      <c r="CE23" s="133"/>
      <c r="CF23" s="133"/>
      <c r="CG23" s="133"/>
      <c r="CH23" s="134">
        <f>SUM(CH22:CH22)</f>
        <v>0</v>
      </c>
    </row>
    <row r="24" spans="1:86" s="65" customFormat="1" ht="15.6" x14ac:dyDescent="0.3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</row>
    <row r="25" spans="1:86" s="65" customFormat="1" ht="15.6" x14ac:dyDescent="0.3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</row>
    <row r="26" spans="1:86" s="65" customFormat="1" ht="15.6" x14ac:dyDescent="0.3">
      <c r="A26" s="70" t="s">
        <v>220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8" spans="1:86" x14ac:dyDescent="0.25">
      <c r="A28" s="232" t="s">
        <v>56</v>
      </c>
      <c r="B28" s="232"/>
      <c r="C28" s="232"/>
      <c r="D28" s="232"/>
      <c r="E28" s="361" t="s">
        <v>2</v>
      </c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232" t="s">
        <v>221</v>
      </c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 t="s">
        <v>222</v>
      </c>
      <c r="AV28" s="232"/>
      <c r="AW28" s="232"/>
      <c r="AX28" s="232"/>
      <c r="AY28" s="232"/>
      <c r="AZ28" s="232"/>
      <c r="BA28" s="232"/>
      <c r="BB28" s="232"/>
      <c r="BC28" s="232"/>
      <c r="BD28" s="232"/>
      <c r="BE28" s="361" t="s">
        <v>223</v>
      </c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 t="s">
        <v>113</v>
      </c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236" t="s">
        <v>61</v>
      </c>
      <c r="CD28" s="236"/>
      <c r="CE28" s="236"/>
      <c r="CF28" s="236"/>
      <c r="CG28" s="236"/>
      <c r="CH28" s="236"/>
    </row>
    <row r="29" spans="1:86" ht="79.5" customHeight="1" x14ac:dyDescent="0.25">
      <c r="A29" s="232"/>
      <c r="B29" s="232"/>
      <c r="C29" s="232"/>
      <c r="D29" s="232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232" t="s">
        <v>66</v>
      </c>
      <c r="CD29" s="232"/>
      <c r="CE29" s="232" t="s">
        <v>67</v>
      </c>
      <c r="CF29" s="232"/>
      <c r="CG29" s="232"/>
      <c r="CH29" s="232" t="s">
        <v>68</v>
      </c>
    </row>
    <row r="30" spans="1:86" x14ac:dyDescent="0.25">
      <c r="A30" s="232"/>
      <c r="B30" s="232"/>
      <c r="C30" s="232"/>
      <c r="D30" s="232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231" t="s">
        <v>69</v>
      </c>
      <c r="CD30" s="231" t="s">
        <v>70</v>
      </c>
      <c r="CE30" s="231" t="s">
        <v>71</v>
      </c>
      <c r="CF30" s="231" t="s">
        <v>69</v>
      </c>
      <c r="CG30" s="231" t="s">
        <v>70</v>
      </c>
      <c r="CH30" s="232"/>
    </row>
    <row r="31" spans="1:86" x14ac:dyDescent="0.25">
      <c r="A31" s="232"/>
      <c r="B31" s="232"/>
      <c r="C31" s="232"/>
      <c r="D31" s="232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231"/>
      <c r="CD31" s="231"/>
      <c r="CE31" s="231"/>
      <c r="CF31" s="231"/>
      <c r="CG31" s="231"/>
      <c r="CH31" s="232"/>
    </row>
    <row r="32" spans="1:86" x14ac:dyDescent="0.25">
      <c r="A32" s="361">
        <v>1</v>
      </c>
      <c r="B32" s="361"/>
      <c r="C32" s="361"/>
      <c r="D32" s="361"/>
      <c r="E32" s="361">
        <v>2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>
        <v>3</v>
      </c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>
        <v>4</v>
      </c>
      <c r="AV32" s="361"/>
      <c r="AW32" s="361"/>
      <c r="AX32" s="361"/>
      <c r="AY32" s="361"/>
      <c r="AZ32" s="361"/>
      <c r="BA32" s="361"/>
      <c r="BB32" s="361"/>
      <c r="BC32" s="361"/>
      <c r="BD32" s="361"/>
      <c r="BE32" s="361">
        <v>5</v>
      </c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 t="s">
        <v>224</v>
      </c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73">
        <v>7</v>
      </c>
      <c r="CD32" s="73">
        <v>8</v>
      </c>
      <c r="CE32" s="73">
        <v>9</v>
      </c>
      <c r="CF32" s="73">
        <v>10</v>
      </c>
      <c r="CG32" s="73">
        <v>11</v>
      </c>
      <c r="CH32" s="73">
        <v>12</v>
      </c>
    </row>
    <row r="33" spans="1:86" ht="27" customHeight="1" x14ac:dyDescent="0.25">
      <c r="A33" s="354">
        <v>1</v>
      </c>
      <c r="B33" s="354"/>
      <c r="C33" s="354"/>
      <c r="D33" s="354"/>
      <c r="E33" s="355" t="s">
        <v>225</v>
      </c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402">
        <v>0</v>
      </c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>
        <v>0</v>
      </c>
      <c r="AV33" s="402"/>
      <c r="AW33" s="402"/>
      <c r="AX33" s="402"/>
      <c r="AY33" s="402"/>
      <c r="AZ33" s="402"/>
      <c r="BA33" s="402"/>
      <c r="BB33" s="402"/>
      <c r="BC33" s="402"/>
      <c r="BD33" s="402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400">
        <v>0</v>
      </c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83"/>
      <c r="CD33" s="143">
        <f>BP33</f>
        <v>0</v>
      </c>
      <c r="CE33" s="83"/>
      <c r="CF33" s="83"/>
      <c r="CG33" s="83"/>
      <c r="CH33" s="82"/>
    </row>
    <row r="34" spans="1:86" x14ac:dyDescent="0.25">
      <c r="A34" s="398" t="s">
        <v>239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7"/>
      <c r="AJ34" s="236" t="s">
        <v>1</v>
      </c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 t="s">
        <v>1</v>
      </c>
      <c r="AV34" s="236"/>
      <c r="AW34" s="236"/>
      <c r="AX34" s="236"/>
      <c r="AY34" s="236"/>
      <c r="AZ34" s="236"/>
      <c r="BA34" s="236"/>
      <c r="BB34" s="236"/>
      <c r="BC34" s="236"/>
      <c r="BD34" s="236"/>
      <c r="BE34" s="236" t="s">
        <v>1</v>
      </c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403">
        <f>SUM(BP33:CB33)</f>
        <v>0</v>
      </c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83"/>
      <c r="CD34" s="84">
        <f>SUM(CD33:CD33)</f>
        <v>0</v>
      </c>
      <c r="CE34" s="84"/>
      <c r="CF34" s="84">
        <f>SUM(CF33:CF33)</f>
        <v>0</v>
      </c>
      <c r="CG34" s="84">
        <f>SUM(CG33:CG33)</f>
        <v>0</v>
      </c>
      <c r="CH34" s="84">
        <f>SUM(CH33:CH33)</f>
        <v>0</v>
      </c>
    </row>
    <row r="35" spans="1:86" s="90" customFormat="1" ht="15.6" x14ac:dyDescent="0.3"/>
    <row r="36" spans="1:86" s="65" customFormat="1" ht="15.6" x14ac:dyDescent="0.3">
      <c r="A36" s="70" t="s">
        <v>240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8" spans="1:86" ht="12.75" customHeight="1" x14ac:dyDescent="0.25">
      <c r="A38" s="232" t="s">
        <v>56</v>
      </c>
      <c r="B38" s="232"/>
      <c r="C38" s="232"/>
      <c r="D38" s="232"/>
      <c r="E38" s="361" t="s">
        <v>2</v>
      </c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 t="s">
        <v>241</v>
      </c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232" t="s">
        <v>242</v>
      </c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 t="s">
        <v>243</v>
      </c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6" t="s">
        <v>61</v>
      </c>
      <c r="CD38" s="236"/>
      <c r="CE38" s="236"/>
      <c r="CF38" s="236"/>
      <c r="CG38" s="236"/>
      <c r="CH38" s="236"/>
    </row>
    <row r="39" spans="1:86" ht="80.25" customHeight="1" x14ac:dyDescent="0.25">
      <c r="A39" s="232"/>
      <c r="B39" s="232"/>
      <c r="C39" s="232"/>
      <c r="D39" s="232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 t="s">
        <v>66</v>
      </c>
      <c r="CD39" s="232"/>
      <c r="CE39" s="232" t="s">
        <v>67</v>
      </c>
      <c r="CF39" s="232"/>
      <c r="CG39" s="232"/>
      <c r="CH39" s="232" t="s">
        <v>68</v>
      </c>
    </row>
    <row r="40" spans="1:86" x14ac:dyDescent="0.25">
      <c r="A40" s="232"/>
      <c r="B40" s="232"/>
      <c r="C40" s="232"/>
      <c r="D40" s="232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1" t="s">
        <v>69</v>
      </c>
      <c r="CD40" s="231" t="s">
        <v>70</v>
      </c>
      <c r="CE40" s="231" t="s">
        <v>71</v>
      </c>
      <c r="CF40" s="231" t="s">
        <v>69</v>
      </c>
      <c r="CG40" s="231" t="s">
        <v>70</v>
      </c>
      <c r="CH40" s="232"/>
    </row>
    <row r="41" spans="1:86" x14ac:dyDescent="0.25">
      <c r="A41" s="232"/>
      <c r="B41" s="232"/>
      <c r="C41" s="232"/>
      <c r="D41" s="232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1"/>
      <c r="CD41" s="231"/>
      <c r="CE41" s="231"/>
      <c r="CF41" s="231"/>
      <c r="CG41" s="231"/>
      <c r="CH41" s="232"/>
    </row>
    <row r="42" spans="1:86" x14ac:dyDescent="0.25">
      <c r="A42" s="361">
        <v>1</v>
      </c>
      <c r="B42" s="361"/>
      <c r="C42" s="361"/>
      <c r="D42" s="361"/>
      <c r="E42" s="361">
        <v>2</v>
      </c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>
        <v>3</v>
      </c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>
        <v>4</v>
      </c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 t="s">
        <v>114</v>
      </c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  <c r="CB42" s="361"/>
      <c r="CC42" s="73">
        <v>6</v>
      </c>
      <c r="CD42" s="73">
        <v>7</v>
      </c>
      <c r="CE42" s="73">
        <v>8</v>
      </c>
      <c r="CF42" s="73">
        <v>9</v>
      </c>
      <c r="CG42" s="73">
        <v>10</v>
      </c>
      <c r="CH42" s="73">
        <v>11</v>
      </c>
    </row>
    <row r="43" spans="1:86" x14ac:dyDescent="0.25">
      <c r="A43" s="35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83"/>
      <c r="CD43" s="83"/>
      <c r="CE43" s="83"/>
      <c r="CF43" s="83"/>
      <c r="CG43" s="83"/>
      <c r="CH43" s="83"/>
    </row>
    <row r="44" spans="1:86" x14ac:dyDescent="0.25">
      <c r="A44" s="228" t="s">
        <v>244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30"/>
      <c r="AR44" s="236" t="s">
        <v>1</v>
      </c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 t="s">
        <v>1</v>
      </c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 t="s">
        <v>1</v>
      </c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83"/>
      <c r="CD44" s="83"/>
      <c r="CE44" s="83"/>
      <c r="CF44" s="83"/>
      <c r="CG44" s="83"/>
      <c r="CH44" s="83"/>
    </row>
    <row r="45" spans="1:86" s="90" customFormat="1" ht="15.6" x14ac:dyDescent="0.3"/>
  </sheetData>
  <mergeCells count="132">
    <mergeCell ref="A23:AM23"/>
    <mergeCell ref="BJ23:CB23"/>
    <mergeCell ref="BP32:CB32"/>
    <mergeCell ref="A28:D31"/>
    <mergeCell ref="E12:AI12"/>
    <mergeCell ref="AJ12:AT12"/>
    <mergeCell ref="AU12:BD12"/>
    <mergeCell ref="A22:D22"/>
    <mergeCell ref="AU28:BD31"/>
    <mergeCell ref="E22:AM22"/>
    <mergeCell ref="AW23:BI23"/>
    <mergeCell ref="CH6:CH8"/>
    <mergeCell ref="CC7:CC8"/>
    <mergeCell ref="BP11:CB11"/>
    <mergeCell ref="CC5:CH5"/>
    <mergeCell ref="CC6:CD6"/>
    <mergeCell ref="CD7:CD8"/>
    <mergeCell ref="CF7:CF8"/>
    <mergeCell ref="CG7:CG8"/>
    <mergeCell ref="CE6:CG6"/>
    <mergeCell ref="BP9:CB9"/>
    <mergeCell ref="CE7:CE8"/>
    <mergeCell ref="AW22:BI22"/>
    <mergeCell ref="AN22:AV22"/>
    <mergeCell ref="AU9:BD9"/>
    <mergeCell ref="BE9:BO9"/>
    <mergeCell ref="BP12:CB12"/>
    <mergeCell ref="BE10:BO10"/>
    <mergeCell ref="A5:D8"/>
    <mergeCell ref="E5:AI8"/>
    <mergeCell ref="AJ5:AT8"/>
    <mergeCell ref="AU5:BD8"/>
    <mergeCell ref="BE5:BO8"/>
    <mergeCell ref="BP5:CB8"/>
    <mergeCell ref="A21:D21"/>
    <mergeCell ref="E21:AM21"/>
    <mergeCell ref="AN21:AV21"/>
    <mergeCell ref="A10:D10"/>
    <mergeCell ref="E9:AI9"/>
    <mergeCell ref="AJ9:AT9"/>
    <mergeCell ref="AJ13:AT13"/>
    <mergeCell ref="A17:D20"/>
    <mergeCell ref="E10:AI10"/>
    <mergeCell ref="AJ10:AT10"/>
    <mergeCell ref="A13:AI13"/>
    <mergeCell ref="A12:D12"/>
    <mergeCell ref="A9:D9"/>
    <mergeCell ref="A11:D11"/>
    <mergeCell ref="BE13:BO13"/>
    <mergeCell ref="BP13:CB13"/>
    <mergeCell ref="AW17:BI20"/>
    <mergeCell ref="BJ17:CB20"/>
    <mergeCell ref="AU11:BD11"/>
    <mergeCell ref="BE11:BO11"/>
    <mergeCell ref="BE12:BO12"/>
    <mergeCell ref="AJ11:AT11"/>
    <mergeCell ref="E11:AI11"/>
    <mergeCell ref="CH39:CH41"/>
    <mergeCell ref="CC40:CC41"/>
    <mergeCell ref="CD40:CD41"/>
    <mergeCell ref="CE40:CE41"/>
    <mergeCell ref="CF40:CF41"/>
    <mergeCell ref="AJ33:AT33"/>
    <mergeCell ref="CC38:CH38"/>
    <mergeCell ref="AU10:BD10"/>
    <mergeCell ref="CG40:CG41"/>
    <mergeCell ref="AN17:AV20"/>
    <mergeCell ref="E17:AM20"/>
    <mergeCell ref="CG30:CG31"/>
    <mergeCell ref="BE28:BO31"/>
    <mergeCell ref="AW21:BI21"/>
    <mergeCell ref="CC39:CD39"/>
    <mergeCell ref="CE39:CG39"/>
    <mergeCell ref="E28:AI31"/>
    <mergeCell ref="BP10:CB10"/>
    <mergeCell ref="BJ21:CB21"/>
    <mergeCell ref="BJ22:CB22"/>
    <mergeCell ref="E32:AI32"/>
    <mergeCell ref="E33:AI33"/>
    <mergeCell ref="AU33:BD33"/>
    <mergeCell ref="AJ32:AT32"/>
    <mergeCell ref="A44:AQ44"/>
    <mergeCell ref="AR44:BC44"/>
    <mergeCell ref="BD44:BN44"/>
    <mergeCell ref="BO44:CB44"/>
    <mergeCell ref="BO38:CB41"/>
    <mergeCell ref="BD38:BN41"/>
    <mergeCell ref="A42:D42"/>
    <mergeCell ref="BE34:BO34"/>
    <mergeCell ref="BP34:CB34"/>
    <mergeCell ref="A38:D41"/>
    <mergeCell ref="CF30:CF31"/>
    <mergeCell ref="A43:D43"/>
    <mergeCell ref="E43:AQ43"/>
    <mergeCell ref="AR43:BC43"/>
    <mergeCell ref="BD43:BN43"/>
    <mergeCell ref="BO43:CB43"/>
    <mergeCell ref="BO42:CB42"/>
    <mergeCell ref="CC30:CC31"/>
    <mergeCell ref="CD30:CD31"/>
    <mergeCell ref="E42:AQ42"/>
    <mergeCell ref="AR42:BC42"/>
    <mergeCell ref="BD42:BN42"/>
    <mergeCell ref="AR38:BC41"/>
    <mergeCell ref="E38:AQ41"/>
    <mergeCell ref="BE32:BO32"/>
    <mergeCell ref="AU32:BD32"/>
    <mergeCell ref="A33:D33"/>
    <mergeCell ref="CE30:CE31"/>
    <mergeCell ref="BP28:CB31"/>
    <mergeCell ref="AJ28:AT31"/>
    <mergeCell ref="A32:D32"/>
    <mergeCell ref="BP33:CB33"/>
    <mergeCell ref="AN23:AV23"/>
    <mergeCell ref="AU13:BD13"/>
    <mergeCell ref="A34:AI34"/>
    <mergeCell ref="AJ34:AT34"/>
    <mergeCell ref="AU34:BD34"/>
    <mergeCell ref="BE33:BO33"/>
    <mergeCell ref="CC17:CH17"/>
    <mergeCell ref="CC18:CD18"/>
    <mergeCell ref="CE18:CG18"/>
    <mergeCell ref="CH18:CH20"/>
    <mergeCell ref="CC19:CC20"/>
    <mergeCell ref="CD19:CD20"/>
    <mergeCell ref="CE19:CE20"/>
    <mergeCell ref="CF19:CF20"/>
    <mergeCell ref="CG19:CG20"/>
    <mergeCell ref="CC28:CH28"/>
    <mergeCell ref="CC29:CD29"/>
    <mergeCell ref="CE29:CG29"/>
    <mergeCell ref="CH29:CH31"/>
  </mergeCells>
  <pageMargins left="0.78740157480314965" right="0.39370078740157483" top="0.59055118110236227" bottom="0.39370078740157483" header="0.27559055118110237" footer="0.27559055118110237"/>
  <pageSetup paperSize="9" scale="84" orientation="landscape" r:id="rId1"/>
  <headerFooter alignWithMargins="0"/>
  <rowBreaks count="1" manualBreakCount="1">
    <brk id="25" max="8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4659260841701"/>
  </sheetPr>
  <dimension ref="A1:CH42"/>
  <sheetViews>
    <sheetView workbookViewId="0">
      <selection activeCell="CC6" sqref="CC6:CD6"/>
    </sheetView>
  </sheetViews>
  <sheetFormatPr defaultColWidth="1.109375" defaultRowHeight="13.2" x14ac:dyDescent="0.25"/>
  <cols>
    <col min="1" max="18" width="1.109375" style="71"/>
    <col min="19" max="19" width="2.109375" style="71" customWidth="1"/>
    <col min="20" max="33" width="1.109375" style="71"/>
    <col min="34" max="34" width="0.33203125" style="71" customWidth="1"/>
    <col min="35" max="35" width="2.88671875" style="71" hidden="1" customWidth="1"/>
    <col min="36" max="80" width="1.109375" style="71"/>
    <col min="81" max="81" width="10.109375" style="71" customWidth="1"/>
    <col min="82" max="82" width="11" style="71" customWidth="1"/>
    <col min="83" max="83" width="8.5546875" style="71" customWidth="1"/>
    <col min="84" max="84" width="9.88671875" style="71" customWidth="1"/>
    <col min="85" max="85" width="8.6640625" style="71" customWidth="1"/>
    <col min="86" max="86" width="15.109375" style="71" customWidth="1"/>
    <col min="87" max="16384" width="1.109375" style="71"/>
  </cols>
  <sheetData>
    <row r="1" spans="1:86" s="65" customFormat="1" ht="15.6" x14ac:dyDescent="0.3">
      <c r="A1" s="70" t="s">
        <v>206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6" s="67" customFormat="1" ht="7.8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6" s="65" customFormat="1" ht="15.6" x14ac:dyDescent="0.3">
      <c r="A3" s="70" t="s">
        <v>207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5" spans="1:86" ht="12.75" customHeight="1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232" t="s">
        <v>208</v>
      </c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 t="s">
        <v>201</v>
      </c>
      <c r="AV5" s="232"/>
      <c r="AW5" s="232"/>
      <c r="AX5" s="232"/>
      <c r="AY5" s="232"/>
      <c r="AZ5" s="232"/>
      <c r="BA5" s="232"/>
      <c r="BB5" s="232"/>
      <c r="BC5" s="232"/>
      <c r="BD5" s="232"/>
      <c r="BE5" s="232" t="s">
        <v>209</v>
      </c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361" t="s">
        <v>113</v>
      </c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236" t="s">
        <v>61</v>
      </c>
      <c r="CD5" s="236"/>
      <c r="CE5" s="236"/>
      <c r="CF5" s="236"/>
      <c r="CG5" s="236"/>
      <c r="CH5" s="236"/>
    </row>
    <row r="6" spans="1:86" ht="78.7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232" t="s">
        <v>66</v>
      </c>
      <c r="CD6" s="232"/>
      <c r="CE6" s="239" t="s">
        <v>67</v>
      </c>
      <c r="CF6" s="240"/>
      <c r="CG6" s="241"/>
      <c r="CH6" s="232" t="s">
        <v>68</v>
      </c>
    </row>
    <row r="7" spans="1:86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231" t="s">
        <v>69</v>
      </c>
      <c r="CD7" s="231" t="s">
        <v>70</v>
      </c>
      <c r="CE7" s="387" t="s">
        <v>71</v>
      </c>
      <c r="CF7" s="231" t="s">
        <v>69</v>
      </c>
      <c r="CG7" s="231" t="s">
        <v>70</v>
      </c>
      <c r="CH7" s="232"/>
    </row>
    <row r="8" spans="1:86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231"/>
      <c r="CD8" s="231"/>
      <c r="CE8" s="388"/>
      <c r="CF8" s="231"/>
      <c r="CG8" s="231"/>
      <c r="CH8" s="232"/>
    </row>
    <row r="9" spans="1:86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>
        <v>3</v>
      </c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>
        <v>4</v>
      </c>
      <c r="AV9" s="361"/>
      <c r="AW9" s="361"/>
      <c r="AX9" s="361"/>
      <c r="AY9" s="361"/>
      <c r="AZ9" s="361"/>
      <c r="BA9" s="361"/>
      <c r="BB9" s="361"/>
      <c r="BC9" s="361"/>
      <c r="BD9" s="361"/>
      <c r="BE9" s="361">
        <v>5</v>
      </c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 t="s">
        <v>124</v>
      </c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73">
        <v>7</v>
      </c>
      <c r="CD9" s="73">
        <v>8</v>
      </c>
      <c r="CE9" s="73">
        <v>9</v>
      </c>
      <c r="CF9" s="73">
        <v>10</v>
      </c>
      <c r="CG9" s="73">
        <v>11</v>
      </c>
      <c r="CH9" s="73">
        <v>12</v>
      </c>
    </row>
    <row r="10" spans="1:86" ht="27" customHeight="1" x14ac:dyDescent="0.25">
      <c r="A10" s="354"/>
      <c r="B10" s="354"/>
      <c r="C10" s="354"/>
      <c r="D10" s="354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88"/>
      <c r="CD10" s="88"/>
      <c r="CE10" s="83"/>
      <c r="CF10" s="83"/>
      <c r="CG10" s="83"/>
      <c r="CH10" s="83"/>
    </row>
    <row r="11" spans="1:86" x14ac:dyDescent="0.25">
      <c r="A11" s="398" t="s">
        <v>214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7"/>
      <c r="AJ11" s="236" t="s">
        <v>1</v>
      </c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 t="s">
        <v>1</v>
      </c>
      <c r="AV11" s="236"/>
      <c r="AW11" s="236"/>
      <c r="AX11" s="236"/>
      <c r="AY11" s="236"/>
      <c r="AZ11" s="236"/>
      <c r="BA11" s="236"/>
      <c r="BB11" s="236"/>
      <c r="BC11" s="236"/>
      <c r="BD11" s="236"/>
      <c r="BE11" s="236" t="s">
        <v>1</v>
      </c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403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89"/>
      <c r="CD11" s="89"/>
      <c r="CE11" s="83"/>
      <c r="CF11" s="83"/>
      <c r="CG11" s="83"/>
      <c r="CH11" s="83"/>
    </row>
    <row r="12" spans="1:86" ht="15" customHeight="1" x14ac:dyDescent="0.2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45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6"/>
      <c r="CD12" s="146"/>
      <c r="CE12" s="137"/>
      <c r="CF12" s="137"/>
      <c r="CG12" s="137"/>
      <c r="CH12" s="137"/>
    </row>
    <row r="13" spans="1:86" s="65" customFormat="1" ht="15.6" x14ac:dyDescent="0.3">
      <c r="A13" s="70" t="s">
        <v>215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5" spans="1:86" x14ac:dyDescent="0.25">
      <c r="A15" s="232" t="s">
        <v>56</v>
      </c>
      <c r="B15" s="232"/>
      <c r="C15" s="232"/>
      <c r="D15" s="232"/>
      <c r="E15" s="361" t="s">
        <v>110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232" t="s">
        <v>216</v>
      </c>
      <c r="AO15" s="232"/>
      <c r="AP15" s="232"/>
      <c r="AQ15" s="232"/>
      <c r="AR15" s="232"/>
      <c r="AS15" s="232"/>
      <c r="AT15" s="232"/>
      <c r="AU15" s="232"/>
      <c r="AV15" s="232"/>
      <c r="AW15" s="232" t="s">
        <v>217</v>
      </c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361" t="s">
        <v>113</v>
      </c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236" t="s">
        <v>61</v>
      </c>
      <c r="CD15" s="236"/>
      <c r="CE15" s="236"/>
      <c r="CF15" s="236"/>
      <c r="CG15" s="236"/>
      <c r="CH15" s="236"/>
    </row>
    <row r="16" spans="1:86" ht="80.25" customHeight="1" x14ac:dyDescent="0.25">
      <c r="A16" s="232"/>
      <c r="B16" s="232"/>
      <c r="C16" s="232"/>
      <c r="D16" s="232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232" t="s">
        <v>66</v>
      </c>
      <c r="CD16" s="232"/>
      <c r="CE16" s="232" t="s">
        <v>67</v>
      </c>
      <c r="CF16" s="232"/>
      <c r="CG16" s="232"/>
      <c r="CH16" s="232" t="s">
        <v>68</v>
      </c>
    </row>
    <row r="17" spans="1:86" x14ac:dyDescent="0.25">
      <c r="A17" s="232"/>
      <c r="B17" s="232"/>
      <c r="C17" s="232"/>
      <c r="D17" s="232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231" t="s">
        <v>69</v>
      </c>
      <c r="CD17" s="231" t="s">
        <v>70</v>
      </c>
      <c r="CE17" s="231" t="s">
        <v>71</v>
      </c>
      <c r="CF17" s="231" t="s">
        <v>69</v>
      </c>
      <c r="CG17" s="231" t="s">
        <v>70</v>
      </c>
      <c r="CH17" s="232"/>
    </row>
    <row r="18" spans="1:86" x14ac:dyDescent="0.25">
      <c r="A18" s="232"/>
      <c r="B18" s="232"/>
      <c r="C18" s="232"/>
      <c r="D18" s="232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231"/>
      <c r="CD18" s="231"/>
      <c r="CE18" s="231"/>
      <c r="CF18" s="231"/>
      <c r="CG18" s="231"/>
      <c r="CH18" s="232"/>
    </row>
    <row r="19" spans="1:86" x14ac:dyDescent="0.25">
      <c r="A19" s="361">
        <v>1</v>
      </c>
      <c r="B19" s="361"/>
      <c r="C19" s="361"/>
      <c r="D19" s="361"/>
      <c r="E19" s="361">
        <v>2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>
        <v>3</v>
      </c>
      <c r="AO19" s="361"/>
      <c r="AP19" s="361"/>
      <c r="AQ19" s="361"/>
      <c r="AR19" s="361"/>
      <c r="AS19" s="361"/>
      <c r="AT19" s="361"/>
      <c r="AU19" s="361"/>
      <c r="AV19" s="361"/>
      <c r="AW19" s="361">
        <v>4</v>
      </c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 t="s">
        <v>114</v>
      </c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73">
        <v>6</v>
      </c>
      <c r="CD19" s="73">
        <v>7</v>
      </c>
      <c r="CE19" s="73">
        <v>8</v>
      </c>
      <c r="CF19" s="73">
        <v>9</v>
      </c>
      <c r="CG19" s="73">
        <v>10</v>
      </c>
      <c r="CH19" s="73">
        <v>11</v>
      </c>
    </row>
    <row r="20" spans="1:86" x14ac:dyDescent="0.25">
      <c r="A20" s="354">
        <v>1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6"/>
      <c r="AO20" s="356"/>
      <c r="AP20" s="356"/>
      <c r="AQ20" s="356"/>
      <c r="AR20" s="356"/>
      <c r="AS20" s="356"/>
      <c r="AT20" s="356"/>
      <c r="AU20" s="356"/>
      <c r="AV20" s="356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89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1"/>
      <c r="CC20" s="133"/>
      <c r="CD20" s="131"/>
      <c r="CE20" s="133"/>
      <c r="CF20" s="133"/>
      <c r="CG20" s="133"/>
      <c r="CH20" s="131"/>
    </row>
    <row r="21" spans="1:86" x14ac:dyDescent="0.25">
      <c r="A21" s="398" t="s">
        <v>219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7"/>
      <c r="AN21" s="356"/>
      <c r="AO21" s="356"/>
      <c r="AP21" s="356"/>
      <c r="AQ21" s="356"/>
      <c r="AR21" s="356"/>
      <c r="AS21" s="356"/>
      <c r="AT21" s="356"/>
      <c r="AU21" s="356"/>
      <c r="AV21" s="356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133"/>
      <c r="CD21" s="134"/>
      <c r="CE21" s="133"/>
      <c r="CF21" s="133"/>
      <c r="CG21" s="133"/>
      <c r="CH21" s="134"/>
    </row>
    <row r="22" spans="1:86" s="65" customFormat="1" ht="15.6" x14ac:dyDescent="0.3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</row>
    <row r="23" spans="1:86" s="65" customFormat="1" ht="15.6" x14ac:dyDescent="0.3">
      <c r="A23" s="70" t="s">
        <v>220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5" spans="1:86" x14ac:dyDescent="0.25">
      <c r="A25" s="232" t="s">
        <v>56</v>
      </c>
      <c r="B25" s="232"/>
      <c r="C25" s="232"/>
      <c r="D25" s="232"/>
      <c r="E25" s="361" t="s">
        <v>2</v>
      </c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232" t="s">
        <v>221</v>
      </c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 t="s">
        <v>222</v>
      </c>
      <c r="AV25" s="232"/>
      <c r="AW25" s="232"/>
      <c r="AX25" s="232"/>
      <c r="AY25" s="232"/>
      <c r="AZ25" s="232"/>
      <c r="BA25" s="232"/>
      <c r="BB25" s="232"/>
      <c r="BC25" s="232"/>
      <c r="BD25" s="232"/>
      <c r="BE25" s="361" t="s">
        <v>223</v>
      </c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 t="s">
        <v>113</v>
      </c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236" t="s">
        <v>61</v>
      </c>
      <c r="CD25" s="236"/>
      <c r="CE25" s="236"/>
      <c r="CF25" s="236"/>
      <c r="CG25" s="236"/>
      <c r="CH25" s="236"/>
    </row>
    <row r="26" spans="1:86" ht="79.5" customHeight="1" x14ac:dyDescent="0.25">
      <c r="A26" s="232"/>
      <c r="B26" s="232"/>
      <c r="C26" s="232"/>
      <c r="D26" s="232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232" t="s">
        <v>66</v>
      </c>
      <c r="CD26" s="232"/>
      <c r="CE26" s="232" t="s">
        <v>67</v>
      </c>
      <c r="CF26" s="232"/>
      <c r="CG26" s="232"/>
      <c r="CH26" s="232" t="s">
        <v>68</v>
      </c>
    </row>
    <row r="27" spans="1:86" x14ac:dyDescent="0.25">
      <c r="A27" s="232"/>
      <c r="B27" s="232"/>
      <c r="C27" s="232"/>
      <c r="D27" s="232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231" t="s">
        <v>69</v>
      </c>
      <c r="CD27" s="231" t="s">
        <v>70</v>
      </c>
      <c r="CE27" s="231" t="s">
        <v>71</v>
      </c>
      <c r="CF27" s="231" t="s">
        <v>69</v>
      </c>
      <c r="CG27" s="231" t="s">
        <v>70</v>
      </c>
      <c r="CH27" s="232"/>
    </row>
    <row r="28" spans="1:86" x14ac:dyDescent="0.25">
      <c r="A28" s="232"/>
      <c r="B28" s="232"/>
      <c r="C28" s="232"/>
      <c r="D28" s="232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231"/>
      <c r="CD28" s="231"/>
      <c r="CE28" s="231"/>
      <c r="CF28" s="231"/>
      <c r="CG28" s="231"/>
      <c r="CH28" s="232"/>
    </row>
    <row r="29" spans="1:86" x14ac:dyDescent="0.25">
      <c r="A29" s="361">
        <v>1</v>
      </c>
      <c r="B29" s="361"/>
      <c r="C29" s="361"/>
      <c r="D29" s="361"/>
      <c r="E29" s="361">
        <v>2</v>
      </c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>
        <v>3</v>
      </c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>
        <v>4</v>
      </c>
      <c r="AV29" s="361"/>
      <c r="AW29" s="361"/>
      <c r="AX29" s="361"/>
      <c r="AY29" s="361"/>
      <c r="AZ29" s="361"/>
      <c r="BA29" s="361"/>
      <c r="BB29" s="361"/>
      <c r="BC29" s="361"/>
      <c r="BD29" s="361"/>
      <c r="BE29" s="361">
        <v>5</v>
      </c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 t="s">
        <v>224</v>
      </c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73">
        <v>7</v>
      </c>
      <c r="CD29" s="73">
        <v>8</v>
      </c>
      <c r="CE29" s="73">
        <v>9</v>
      </c>
      <c r="CF29" s="73">
        <v>10</v>
      </c>
      <c r="CG29" s="73">
        <v>11</v>
      </c>
      <c r="CH29" s="73">
        <v>12</v>
      </c>
    </row>
    <row r="30" spans="1:86" ht="22.5" customHeight="1" x14ac:dyDescent="0.25">
      <c r="A30" s="354"/>
      <c r="B30" s="354"/>
      <c r="C30" s="354"/>
      <c r="D30" s="354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83"/>
      <c r="CD30" s="143"/>
      <c r="CE30" s="83"/>
      <c r="CF30" s="83"/>
      <c r="CG30" s="83"/>
      <c r="CH30" s="143"/>
    </row>
    <row r="31" spans="1:86" x14ac:dyDescent="0.25">
      <c r="A31" s="398" t="s">
        <v>239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7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403"/>
      <c r="BQ31" s="403"/>
      <c r="BR31" s="403"/>
      <c r="BS31" s="403"/>
      <c r="BT31" s="403"/>
      <c r="BU31" s="403"/>
      <c r="BV31" s="403"/>
      <c r="BW31" s="403"/>
      <c r="BX31" s="403"/>
      <c r="BY31" s="403"/>
      <c r="BZ31" s="403"/>
      <c r="CA31" s="403"/>
      <c r="CB31" s="403"/>
      <c r="CC31" s="83"/>
      <c r="CD31" s="84"/>
      <c r="CE31" s="84"/>
      <c r="CF31" s="84"/>
      <c r="CG31" s="84"/>
      <c r="CH31" s="84"/>
    </row>
    <row r="32" spans="1:86" s="90" customFormat="1" ht="77.25" customHeight="1" x14ac:dyDescent="0.3"/>
    <row r="33" spans="1:86" s="65" customFormat="1" ht="15.6" x14ac:dyDescent="0.3">
      <c r="A33" s="70" t="s">
        <v>240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5" spans="1:86" ht="12.75" customHeight="1" x14ac:dyDescent="0.25">
      <c r="A35" s="232" t="s">
        <v>56</v>
      </c>
      <c r="B35" s="232"/>
      <c r="C35" s="232"/>
      <c r="D35" s="232"/>
      <c r="E35" s="361" t="s">
        <v>2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 t="s">
        <v>241</v>
      </c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232" t="s">
        <v>242</v>
      </c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 t="s">
        <v>243</v>
      </c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6" t="s">
        <v>61</v>
      </c>
      <c r="CD35" s="236"/>
      <c r="CE35" s="236"/>
      <c r="CF35" s="236"/>
      <c r="CG35" s="236"/>
      <c r="CH35" s="236"/>
    </row>
    <row r="36" spans="1:86" ht="80.25" customHeight="1" x14ac:dyDescent="0.25">
      <c r="A36" s="232"/>
      <c r="B36" s="232"/>
      <c r="C36" s="232"/>
      <c r="D36" s="232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 t="s">
        <v>66</v>
      </c>
      <c r="CD36" s="232"/>
      <c r="CE36" s="232" t="s">
        <v>67</v>
      </c>
      <c r="CF36" s="232"/>
      <c r="CG36" s="232"/>
      <c r="CH36" s="232" t="s">
        <v>68</v>
      </c>
    </row>
    <row r="37" spans="1:86" x14ac:dyDescent="0.25">
      <c r="A37" s="232"/>
      <c r="B37" s="232"/>
      <c r="C37" s="232"/>
      <c r="D37" s="232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1" t="s">
        <v>69</v>
      </c>
      <c r="CD37" s="231" t="s">
        <v>70</v>
      </c>
      <c r="CE37" s="231" t="s">
        <v>71</v>
      </c>
      <c r="CF37" s="231" t="s">
        <v>69</v>
      </c>
      <c r="CG37" s="231" t="s">
        <v>70</v>
      </c>
      <c r="CH37" s="232"/>
    </row>
    <row r="38" spans="1:86" x14ac:dyDescent="0.25">
      <c r="A38" s="232"/>
      <c r="B38" s="232"/>
      <c r="C38" s="232"/>
      <c r="D38" s="232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1"/>
      <c r="CD38" s="231"/>
      <c r="CE38" s="231"/>
      <c r="CF38" s="231"/>
      <c r="CG38" s="231"/>
      <c r="CH38" s="232"/>
    </row>
    <row r="39" spans="1:86" x14ac:dyDescent="0.25">
      <c r="A39" s="361">
        <v>1</v>
      </c>
      <c r="B39" s="361"/>
      <c r="C39" s="361"/>
      <c r="D39" s="361"/>
      <c r="E39" s="361">
        <v>2</v>
      </c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>
        <v>3</v>
      </c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>
        <v>4</v>
      </c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 t="s">
        <v>114</v>
      </c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73">
        <v>6</v>
      </c>
      <c r="CD39" s="73">
        <v>7</v>
      </c>
      <c r="CE39" s="73">
        <v>8</v>
      </c>
      <c r="CF39" s="73">
        <v>9</v>
      </c>
      <c r="CG39" s="73">
        <v>10</v>
      </c>
      <c r="CH39" s="73">
        <v>11</v>
      </c>
    </row>
    <row r="40" spans="1:86" x14ac:dyDescent="0.25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83"/>
      <c r="CD40" s="83"/>
      <c r="CE40" s="83"/>
      <c r="CF40" s="83"/>
      <c r="CG40" s="83"/>
      <c r="CH40" s="83"/>
    </row>
    <row r="41" spans="1:86" x14ac:dyDescent="0.25">
      <c r="A41" s="398" t="s">
        <v>244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7"/>
      <c r="AR41" s="236" t="s">
        <v>1</v>
      </c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 t="s">
        <v>1</v>
      </c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 t="s">
        <v>1</v>
      </c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83"/>
      <c r="CD41" s="83"/>
      <c r="CE41" s="83"/>
      <c r="CF41" s="83"/>
      <c r="CG41" s="83"/>
      <c r="CH41" s="83"/>
    </row>
    <row r="42" spans="1:86" s="90" customFormat="1" ht="15.6" x14ac:dyDescent="0.3"/>
  </sheetData>
  <mergeCells count="120">
    <mergeCell ref="A5:D8"/>
    <mergeCell ref="E5:AI8"/>
    <mergeCell ref="AJ5:AT8"/>
    <mergeCell ref="AU5:BD8"/>
    <mergeCell ref="BE5:BO8"/>
    <mergeCell ref="BP5:CB8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10:D10"/>
    <mergeCell ref="E10:AI10"/>
    <mergeCell ref="AJ10:AT10"/>
    <mergeCell ref="AU10:BD10"/>
    <mergeCell ref="BE10:BO10"/>
    <mergeCell ref="BP10:CB10"/>
    <mergeCell ref="A9:D9"/>
    <mergeCell ref="E9:AI9"/>
    <mergeCell ref="AJ9:AT9"/>
    <mergeCell ref="AU9:BD9"/>
    <mergeCell ref="BE9:BO9"/>
    <mergeCell ref="BP9:CB9"/>
    <mergeCell ref="A11:AI11"/>
    <mergeCell ref="AJ11:AT11"/>
    <mergeCell ref="AU11:BD11"/>
    <mergeCell ref="BE11:BO11"/>
    <mergeCell ref="BP11:CB11"/>
    <mergeCell ref="A15:D18"/>
    <mergeCell ref="E15:AM18"/>
    <mergeCell ref="AN15:AV18"/>
    <mergeCell ref="AW15:BI18"/>
    <mergeCell ref="BJ15:CB18"/>
    <mergeCell ref="CC15:CH15"/>
    <mergeCell ref="CC16:CD16"/>
    <mergeCell ref="CE16:CG16"/>
    <mergeCell ref="CH16:CH18"/>
    <mergeCell ref="CC17:CC18"/>
    <mergeCell ref="CD17:CD18"/>
    <mergeCell ref="CE17:CE18"/>
    <mergeCell ref="CF17:CF18"/>
    <mergeCell ref="CG17:CG18"/>
    <mergeCell ref="A19:D19"/>
    <mergeCell ref="E19:AM19"/>
    <mergeCell ref="AN19:AV19"/>
    <mergeCell ref="AW19:BI19"/>
    <mergeCell ref="BJ19:CB19"/>
    <mergeCell ref="A20:D20"/>
    <mergeCell ref="E20:AM20"/>
    <mergeCell ref="AN20:AV20"/>
    <mergeCell ref="AW20:BI20"/>
    <mergeCell ref="BJ20:CB20"/>
    <mergeCell ref="A21:AM21"/>
    <mergeCell ref="AN21:AV21"/>
    <mergeCell ref="AW21:BI21"/>
    <mergeCell ref="BJ21:CB21"/>
    <mergeCell ref="A25:D28"/>
    <mergeCell ref="E25:AI28"/>
    <mergeCell ref="AJ25:AT28"/>
    <mergeCell ref="AU25:BD28"/>
    <mergeCell ref="BE25:BO28"/>
    <mergeCell ref="BP25:CB28"/>
    <mergeCell ref="A29:D29"/>
    <mergeCell ref="E29:AI29"/>
    <mergeCell ref="AJ29:AT29"/>
    <mergeCell ref="AU29:BD29"/>
    <mergeCell ref="BE29:BO29"/>
    <mergeCell ref="BP29:CB29"/>
    <mergeCell ref="CC25:CH25"/>
    <mergeCell ref="CC26:CD26"/>
    <mergeCell ref="CE26:CG26"/>
    <mergeCell ref="CH26:CH28"/>
    <mergeCell ref="CC27:CC28"/>
    <mergeCell ref="CD27:CD28"/>
    <mergeCell ref="CE27:CE28"/>
    <mergeCell ref="CF27:CF28"/>
    <mergeCell ref="CG27:CG28"/>
    <mergeCell ref="A35:D38"/>
    <mergeCell ref="E35:AQ38"/>
    <mergeCell ref="AR35:BC38"/>
    <mergeCell ref="BD35:BN38"/>
    <mergeCell ref="BO35:CB38"/>
    <mergeCell ref="CE37:CE38"/>
    <mergeCell ref="CF37:CF38"/>
    <mergeCell ref="CG37:CG38"/>
    <mergeCell ref="A30:D30"/>
    <mergeCell ref="E30:AI30"/>
    <mergeCell ref="AJ30:AT30"/>
    <mergeCell ref="AU30:BD30"/>
    <mergeCell ref="BE30:BO30"/>
    <mergeCell ref="BP30:CB30"/>
    <mergeCell ref="A31:AI31"/>
    <mergeCell ref="CC35:CH35"/>
    <mergeCell ref="CC36:CD36"/>
    <mergeCell ref="CE36:CG36"/>
    <mergeCell ref="CH36:CH38"/>
    <mergeCell ref="CC37:CC38"/>
    <mergeCell ref="CD37:CD38"/>
    <mergeCell ref="AJ31:AT31"/>
    <mergeCell ref="AU31:BD31"/>
    <mergeCell ref="BE31:BO31"/>
    <mergeCell ref="BP31:CB31"/>
    <mergeCell ref="A41:AQ41"/>
    <mergeCell ref="AR41:BC41"/>
    <mergeCell ref="BD41:BN41"/>
    <mergeCell ref="BO41:CB41"/>
    <mergeCell ref="A39:D39"/>
    <mergeCell ref="E39:AQ39"/>
    <mergeCell ref="AR39:BC39"/>
    <mergeCell ref="BD39:BN39"/>
    <mergeCell ref="BO39:CB39"/>
    <mergeCell ref="A40:D40"/>
    <mergeCell ref="E40:AQ40"/>
    <mergeCell ref="AR40:BC40"/>
    <mergeCell ref="BD40:BN40"/>
    <mergeCell ref="BO40:CB40"/>
  </mergeCells>
  <pageMargins left="0.78740157480314965" right="0.39370078740157483" top="0.59055118110236227" bottom="0.39370078740157483" header="0.27559055118110237" footer="0.27559055118110237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19EF"/>
  </sheetPr>
  <dimension ref="A1:CI70"/>
  <sheetViews>
    <sheetView topLeftCell="A34" workbookViewId="0">
      <selection activeCell="CD48" sqref="CD48"/>
    </sheetView>
  </sheetViews>
  <sheetFormatPr defaultColWidth="1.109375" defaultRowHeight="13.2" x14ac:dyDescent="0.25"/>
  <cols>
    <col min="1" max="53" width="1.109375" style="170"/>
    <col min="54" max="54" width="0.44140625" style="170" customWidth="1"/>
    <col min="55" max="55" width="1.109375" style="170" hidden="1" customWidth="1"/>
    <col min="56" max="80" width="1.109375" style="170"/>
    <col min="81" max="81" width="9.109375" style="170" customWidth="1"/>
    <col min="82" max="82" width="12.6640625" style="170" customWidth="1"/>
    <col min="83" max="83" width="16.5546875" style="170" customWidth="1"/>
    <col min="84" max="85" width="14.109375" style="170" customWidth="1"/>
    <col min="86" max="86" width="13" style="170" customWidth="1"/>
    <col min="87" max="87" width="15.109375" style="170" customWidth="1"/>
    <col min="88" max="16384" width="1.109375" style="170"/>
  </cols>
  <sheetData>
    <row r="1" spans="1:87" s="165" customFormat="1" ht="15.6" x14ac:dyDescent="0.25">
      <c r="A1" s="169" t="s">
        <v>249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7" s="166" customFormat="1" ht="7.8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</row>
    <row r="3" spans="1:87" ht="12.75" customHeight="1" x14ac:dyDescent="0.25">
      <c r="A3" s="365" t="s">
        <v>56</v>
      </c>
      <c r="B3" s="366"/>
      <c r="C3" s="366"/>
      <c r="D3" s="367"/>
      <c r="E3" s="374" t="s">
        <v>110</v>
      </c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  <c r="AN3" s="365" t="s">
        <v>200</v>
      </c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7"/>
      <c r="BD3" s="365" t="s">
        <v>201</v>
      </c>
      <c r="BE3" s="366"/>
      <c r="BF3" s="366"/>
      <c r="BG3" s="366"/>
      <c r="BH3" s="366"/>
      <c r="BI3" s="366"/>
      <c r="BJ3" s="366"/>
      <c r="BK3" s="366"/>
      <c r="BL3" s="366"/>
      <c r="BM3" s="367"/>
      <c r="BN3" s="365" t="s">
        <v>202</v>
      </c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7"/>
      <c r="CC3" s="361" t="s">
        <v>61</v>
      </c>
      <c r="CD3" s="361"/>
      <c r="CE3" s="361"/>
      <c r="CF3" s="361"/>
      <c r="CG3" s="361"/>
      <c r="CH3" s="361"/>
      <c r="CI3" s="361"/>
    </row>
    <row r="4" spans="1:87" ht="78.75" customHeight="1" x14ac:dyDescent="0.25">
      <c r="A4" s="368"/>
      <c r="B4" s="369"/>
      <c r="C4" s="369"/>
      <c r="D4" s="370"/>
      <c r="E4" s="377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9"/>
      <c r="AN4" s="368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70"/>
      <c r="BD4" s="368"/>
      <c r="BE4" s="369"/>
      <c r="BF4" s="369"/>
      <c r="BG4" s="369"/>
      <c r="BH4" s="369"/>
      <c r="BI4" s="369"/>
      <c r="BJ4" s="369"/>
      <c r="BK4" s="369"/>
      <c r="BL4" s="369"/>
      <c r="BM4" s="370"/>
      <c r="BN4" s="368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70"/>
      <c r="CC4" s="232" t="s">
        <v>66</v>
      </c>
      <c r="CD4" s="232"/>
      <c r="CE4" s="239" t="s">
        <v>67</v>
      </c>
      <c r="CF4" s="240"/>
      <c r="CG4" s="240"/>
      <c r="CH4" s="241"/>
      <c r="CI4" s="384" t="s">
        <v>68</v>
      </c>
    </row>
    <row r="5" spans="1:87" ht="12.75" customHeight="1" x14ac:dyDescent="0.25">
      <c r="A5" s="368"/>
      <c r="B5" s="369"/>
      <c r="C5" s="369"/>
      <c r="D5" s="370"/>
      <c r="E5" s="377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9"/>
      <c r="AN5" s="368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70"/>
      <c r="BD5" s="368"/>
      <c r="BE5" s="369"/>
      <c r="BF5" s="369"/>
      <c r="BG5" s="369"/>
      <c r="BH5" s="369"/>
      <c r="BI5" s="369"/>
      <c r="BJ5" s="369"/>
      <c r="BK5" s="369"/>
      <c r="BL5" s="369"/>
      <c r="BM5" s="370"/>
      <c r="BN5" s="368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70"/>
      <c r="CC5" s="232" t="s">
        <v>69</v>
      </c>
      <c r="CD5" s="232" t="s">
        <v>70</v>
      </c>
      <c r="CE5" s="384" t="s">
        <v>71</v>
      </c>
      <c r="CF5" s="232" t="s">
        <v>250</v>
      </c>
      <c r="CG5" s="232" t="s">
        <v>69</v>
      </c>
      <c r="CH5" s="232" t="s">
        <v>70</v>
      </c>
      <c r="CI5" s="385"/>
    </row>
    <row r="6" spans="1:87" ht="12.75" customHeight="1" x14ac:dyDescent="0.25">
      <c r="A6" s="371"/>
      <c r="B6" s="372"/>
      <c r="C6" s="372"/>
      <c r="D6" s="373"/>
      <c r="E6" s="380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371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3"/>
      <c r="BD6" s="371"/>
      <c r="BE6" s="372"/>
      <c r="BF6" s="372"/>
      <c r="BG6" s="372"/>
      <c r="BH6" s="372"/>
      <c r="BI6" s="372"/>
      <c r="BJ6" s="372"/>
      <c r="BK6" s="372"/>
      <c r="BL6" s="372"/>
      <c r="BM6" s="373"/>
      <c r="BN6" s="371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3"/>
      <c r="CC6" s="232"/>
      <c r="CD6" s="232"/>
      <c r="CE6" s="386"/>
      <c r="CF6" s="232"/>
      <c r="CG6" s="232"/>
      <c r="CH6" s="232"/>
      <c r="CI6" s="386"/>
    </row>
    <row r="7" spans="1:87" x14ac:dyDescent="0.25">
      <c r="A7" s="361">
        <v>1</v>
      </c>
      <c r="B7" s="361"/>
      <c r="C7" s="361"/>
      <c r="D7" s="361"/>
      <c r="E7" s="361">
        <v>2</v>
      </c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>
        <v>3</v>
      </c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>
        <v>4</v>
      </c>
      <c r="BE7" s="361"/>
      <c r="BF7" s="361"/>
      <c r="BG7" s="361"/>
      <c r="BH7" s="361"/>
      <c r="BI7" s="361"/>
      <c r="BJ7" s="361"/>
      <c r="BK7" s="361"/>
      <c r="BL7" s="361"/>
      <c r="BM7" s="361"/>
      <c r="BN7" s="361" t="s">
        <v>114</v>
      </c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75">
        <v>6</v>
      </c>
      <c r="CD7" s="75">
        <v>7</v>
      </c>
      <c r="CE7" s="75">
        <v>8</v>
      </c>
      <c r="CF7" s="75">
        <v>9</v>
      </c>
      <c r="CG7" s="75">
        <v>9</v>
      </c>
      <c r="CH7" s="75">
        <v>10</v>
      </c>
      <c r="CI7" s="75">
        <v>11</v>
      </c>
    </row>
    <row r="8" spans="1:87" ht="30" customHeight="1" x14ac:dyDescent="0.25">
      <c r="A8" s="475"/>
      <c r="B8" s="475"/>
      <c r="C8" s="475"/>
      <c r="D8" s="475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8"/>
      <c r="BE8" s="498"/>
      <c r="BF8" s="498"/>
      <c r="BG8" s="498"/>
      <c r="BH8" s="498"/>
      <c r="BI8" s="498"/>
      <c r="BJ8" s="498"/>
      <c r="BK8" s="498"/>
      <c r="BL8" s="498"/>
      <c r="BM8" s="498"/>
      <c r="BN8" s="498"/>
      <c r="BO8" s="498"/>
      <c r="BP8" s="498"/>
      <c r="BQ8" s="498"/>
      <c r="BR8" s="498"/>
      <c r="BS8" s="498"/>
      <c r="BT8" s="498"/>
      <c r="BU8" s="498"/>
      <c r="BV8" s="498"/>
      <c r="BW8" s="498"/>
      <c r="BX8" s="498"/>
      <c r="BY8" s="498"/>
      <c r="BZ8" s="498"/>
      <c r="CA8" s="498"/>
      <c r="CB8" s="498"/>
      <c r="CC8" s="194"/>
      <c r="CD8" s="205"/>
      <c r="CE8" s="194"/>
      <c r="CF8" s="194"/>
      <c r="CG8" s="194"/>
      <c r="CH8" s="194"/>
      <c r="CI8" s="194"/>
    </row>
    <row r="9" spans="1:87" x14ac:dyDescent="0.25">
      <c r="A9" s="437" t="s">
        <v>204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9"/>
      <c r="AN9" s="502" t="s">
        <v>1</v>
      </c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 t="s">
        <v>1</v>
      </c>
      <c r="BE9" s="502"/>
      <c r="BF9" s="502"/>
      <c r="BG9" s="502"/>
      <c r="BH9" s="502"/>
      <c r="BI9" s="502"/>
      <c r="BJ9" s="502"/>
      <c r="BK9" s="502"/>
      <c r="BL9" s="502"/>
      <c r="BM9" s="502"/>
      <c r="BN9" s="491"/>
      <c r="BO9" s="491"/>
      <c r="BP9" s="491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1"/>
      <c r="CC9" s="194"/>
      <c r="CD9" s="196"/>
      <c r="CE9" s="194"/>
      <c r="CF9" s="196"/>
      <c r="CG9" s="196"/>
      <c r="CH9" s="196"/>
      <c r="CI9" s="194"/>
    </row>
    <row r="10" spans="1:87" s="188" customFormat="1" ht="18.75" customHeight="1" x14ac:dyDescent="0.25">
      <c r="CD10" s="61"/>
    </row>
    <row r="11" spans="1:87" s="165" customFormat="1" ht="15.6" x14ac:dyDescent="0.25">
      <c r="A11" s="169" t="s">
        <v>270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</row>
    <row r="12" spans="1:87" s="166" customFormat="1" ht="7.8" x14ac:dyDescent="0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</row>
    <row r="13" spans="1:87" x14ac:dyDescent="0.25">
      <c r="A13" s="232" t="s">
        <v>56</v>
      </c>
      <c r="B13" s="232"/>
      <c r="C13" s="232"/>
      <c r="D13" s="232"/>
      <c r="E13" s="361" t="s">
        <v>110</v>
      </c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5" t="s">
        <v>200</v>
      </c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7"/>
      <c r="BD13" s="365" t="s">
        <v>201</v>
      </c>
      <c r="BE13" s="366"/>
      <c r="BF13" s="366"/>
      <c r="BG13" s="366"/>
      <c r="BH13" s="366"/>
      <c r="BI13" s="366"/>
      <c r="BJ13" s="366"/>
      <c r="BK13" s="366"/>
      <c r="BL13" s="366"/>
      <c r="BM13" s="367"/>
      <c r="BN13" s="365" t="s">
        <v>202</v>
      </c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7"/>
      <c r="CC13" s="361" t="s">
        <v>61</v>
      </c>
      <c r="CD13" s="361"/>
      <c r="CE13" s="361"/>
      <c r="CF13" s="361"/>
      <c r="CG13" s="361"/>
      <c r="CH13" s="361"/>
      <c r="CI13" s="361"/>
    </row>
    <row r="14" spans="1:87" ht="83.25" customHeight="1" x14ac:dyDescent="0.25">
      <c r="A14" s="232"/>
      <c r="B14" s="232"/>
      <c r="C14" s="232"/>
      <c r="D14" s="232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8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70"/>
      <c r="BD14" s="368"/>
      <c r="BE14" s="369"/>
      <c r="BF14" s="369"/>
      <c r="BG14" s="369"/>
      <c r="BH14" s="369"/>
      <c r="BI14" s="369"/>
      <c r="BJ14" s="369"/>
      <c r="BK14" s="369"/>
      <c r="BL14" s="369"/>
      <c r="BM14" s="370"/>
      <c r="BN14" s="368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70"/>
      <c r="CC14" s="232" t="s">
        <v>66</v>
      </c>
      <c r="CD14" s="232"/>
      <c r="CE14" s="239" t="s">
        <v>67</v>
      </c>
      <c r="CF14" s="240"/>
      <c r="CG14" s="240"/>
      <c r="CH14" s="241"/>
      <c r="CI14" s="384" t="s">
        <v>68</v>
      </c>
    </row>
    <row r="15" spans="1:87" ht="12.75" customHeight="1" x14ac:dyDescent="0.25">
      <c r="A15" s="232"/>
      <c r="B15" s="232"/>
      <c r="C15" s="232"/>
      <c r="D15" s="232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8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70"/>
      <c r="BD15" s="368"/>
      <c r="BE15" s="369"/>
      <c r="BF15" s="369"/>
      <c r="BG15" s="369"/>
      <c r="BH15" s="369"/>
      <c r="BI15" s="369"/>
      <c r="BJ15" s="369"/>
      <c r="BK15" s="369"/>
      <c r="BL15" s="369"/>
      <c r="BM15" s="370"/>
      <c r="BN15" s="368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70"/>
      <c r="CC15" s="232" t="s">
        <v>69</v>
      </c>
      <c r="CD15" s="232" t="s">
        <v>70</v>
      </c>
      <c r="CE15" s="384" t="s">
        <v>71</v>
      </c>
      <c r="CF15" s="232" t="s">
        <v>250</v>
      </c>
      <c r="CG15" s="232" t="s">
        <v>69</v>
      </c>
      <c r="CH15" s="232" t="s">
        <v>70</v>
      </c>
      <c r="CI15" s="385"/>
    </row>
    <row r="16" spans="1:87" x14ac:dyDescent="0.25">
      <c r="A16" s="232"/>
      <c r="B16" s="232"/>
      <c r="C16" s="232"/>
      <c r="D16" s="232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71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3"/>
      <c r="BD16" s="371"/>
      <c r="BE16" s="372"/>
      <c r="BF16" s="372"/>
      <c r="BG16" s="372"/>
      <c r="BH16" s="372"/>
      <c r="BI16" s="372"/>
      <c r="BJ16" s="372"/>
      <c r="BK16" s="372"/>
      <c r="BL16" s="372"/>
      <c r="BM16" s="373"/>
      <c r="BN16" s="371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3"/>
      <c r="CC16" s="232"/>
      <c r="CD16" s="232"/>
      <c r="CE16" s="386"/>
      <c r="CF16" s="232"/>
      <c r="CG16" s="232"/>
      <c r="CH16" s="232"/>
      <c r="CI16" s="386"/>
    </row>
    <row r="17" spans="1:87" ht="30" customHeight="1" x14ac:dyDescent="0.25">
      <c r="A17" s="361">
        <v>1</v>
      </c>
      <c r="B17" s="361"/>
      <c r="C17" s="361"/>
      <c r="D17" s="361"/>
      <c r="E17" s="361">
        <v>2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>
        <v>3</v>
      </c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>
        <v>4</v>
      </c>
      <c r="BE17" s="361"/>
      <c r="BF17" s="361"/>
      <c r="BG17" s="361"/>
      <c r="BH17" s="361"/>
      <c r="BI17" s="361"/>
      <c r="BJ17" s="361"/>
      <c r="BK17" s="361"/>
      <c r="BL17" s="361"/>
      <c r="BM17" s="361"/>
      <c r="BN17" s="361" t="s">
        <v>114</v>
      </c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75">
        <v>6</v>
      </c>
      <c r="CD17" s="75">
        <v>7</v>
      </c>
      <c r="CE17" s="75">
        <v>8</v>
      </c>
      <c r="CF17" s="75">
        <v>9</v>
      </c>
      <c r="CG17" s="75">
        <v>9</v>
      </c>
      <c r="CH17" s="75">
        <v>10</v>
      </c>
      <c r="CI17" s="75">
        <v>11</v>
      </c>
    </row>
    <row r="18" spans="1:87" ht="16.2" customHeight="1" x14ac:dyDescent="0.25">
      <c r="A18" s="475"/>
      <c r="B18" s="475"/>
      <c r="C18" s="475"/>
      <c r="D18" s="475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/>
      <c r="BZ18" s="483"/>
      <c r="CA18" s="483"/>
      <c r="CB18" s="483"/>
      <c r="CC18" s="176"/>
      <c r="CD18" s="192"/>
      <c r="CE18" s="176"/>
      <c r="CF18" s="176"/>
      <c r="CG18" s="176"/>
      <c r="CH18" s="176"/>
      <c r="CI18" s="192"/>
    </row>
    <row r="19" spans="1:87" s="188" customFormat="1" ht="15.6" x14ac:dyDescent="0.25">
      <c r="A19" s="437" t="s">
        <v>128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9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361" t="s">
        <v>1</v>
      </c>
      <c r="BE19" s="361"/>
      <c r="BF19" s="361"/>
      <c r="BG19" s="361"/>
      <c r="BH19" s="361"/>
      <c r="BI19" s="361"/>
      <c r="BJ19" s="361"/>
      <c r="BK19" s="361"/>
      <c r="BL19" s="361"/>
      <c r="BM19" s="361"/>
      <c r="BN19" s="484"/>
      <c r="BO19" s="484"/>
      <c r="BP19" s="484"/>
      <c r="BQ19" s="484"/>
      <c r="BR19" s="484"/>
      <c r="BS19" s="484"/>
      <c r="BT19" s="484"/>
      <c r="BU19" s="484"/>
      <c r="BV19" s="484"/>
      <c r="BW19" s="484"/>
      <c r="BX19" s="484"/>
      <c r="BY19" s="484"/>
      <c r="BZ19" s="484"/>
      <c r="CA19" s="484"/>
      <c r="CB19" s="484"/>
      <c r="CC19" s="176"/>
      <c r="CD19" s="177"/>
      <c r="CE19" s="176"/>
      <c r="CF19" s="177"/>
      <c r="CG19" s="177"/>
      <c r="CH19" s="177"/>
      <c r="CI19" s="177"/>
    </row>
    <row r="20" spans="1:87" s="188" customFormat="1" ht="15.6" x14ac:dyDescent="0.25"/>
    <row r="21" spans="1:87" s="188" customFormat="1" ht="15.6" x14ac:dyDescent="0.25">
      <c r="A21" s="169" t="s">
        <v>290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</row>
    <row r="22" spans="1:87" s="188" customFormat="1" ht="15.6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6"/>
      <c r="CD22" s="166"/>
      <c r="CE22" s="166"/>
      <c r="CF22" s="166"/>
      <c r="CG22" s="166"/>
      <c r="CH22" s="166"/>
      <c r="CI22" s="166"/>
    </row>
    <row r="23" spans="1:87" s="188" customFormat="1" ht="27.75" customHeight="1" x14ac:dyDescent="0.25">
      <c r="A23" s="232" t="s">
        <v>56</v>
      </c>
      <c r="B23" s="232"/>
      <c r="C23" s="232"/>
      <c r="D23" s="232"/>
      <c r="E23" s="361" t="s">
        <v>110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5" t="s">
        <v>200</v>
      </c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7"/>
      <c r="BD23" s="365" t="s">
        <v>201</v>
      </c>
      <c r="BE23" s="366"/>
      <c r="BF23" s="366"/>
      <c r="BG23" s="366"/>
      <c r="BH23" s="366"/>
      <c r="BI23" s="366"/>
      <c r="BJ23" s="366"/>
      <c r="BK23" s="366"/>
      <c r="BL23" s="366"/>
      <c r="BM23" s="367"/>
      <c r="BN23" s="365" t="s">
        <v>202</v>
      </c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7"/>
      <c r="CC23" s="361" t="s">
        <v>61</v>
      </c>
      <c r="CD23" s="361"/>
      <c r="CE23" s="361"/>
      <c r="CF23" s="361"/>
      <c r="CG23" s="361"/>
      <c r="CH23" s="361"/>
      <c r="CI23" s="361"/>
    </row>
    <row r="24" spans="1:87" s="188" customFormat="1" ht="53.25" customHeight="1" x14ac:dyDescent="0.25">
      <c r="A24" s="232"/>
      <c r="B24" s="232"/>
      <c r="C24" s="232"/>
      <c r="D24" s="232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8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70"/>
      <c r="BD24" s="368"/>
      <c r="BE24" s="369"/>
      <c r="BF24" s="369"/>
      <c r="BG24" s="369"/>
      <c r="BH24" s="369"/>
      <c r="BI24" s="369"/>
      <c r="BJ24" s="369"/>
      <c r="BK24" s="369"/>
      <c r="BL24" s="369"/>
      <c r="BM24" s="370"/>
      <c r="BN24" s="368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70"/>
      <c r="CC24" s="232" t="s">
        <v>66</v>
      </c>
      <c r="CD24" s="232"/>
      <c r="CE24" s="239" t="s">
        <v>67</v>
      </c>
      <c r="CF24" s="240"/>
      <c r="CG24" s="240"/>
      <c r="CH24" s="241"/>
      <c r="CI24" s="384" t="s">
        <v>68</v>
      </c>
    </row>
    <row r="25" spans="1:87" s="188" customFormat="1" ht="15.6" x14ac:dyDescent="0.25">
      <c r="A25" s="232"/>
      <c r="B25" s="232"/>
      <c r="C25" s="232"/>
      <c r="D25" s="232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8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70"/>
      <c r="BD25" s="368"/>
      <c r="BE25" s="369"/>
      <c r="BF25" s="369"/>
      <c r="BG25" s="369"/>
      <c r="BH25" s="369"/>
      <c r="BI25" s="369"/>
      <c r="BJ25" s="369"/>
      <c r="BK25" s="369"/>
      <c r="BL25" s="369"/>
      <c r="BM25" s="370"/>
      <c r="BN25" s="368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70"/>
      <c r="CC25" s="232" t="s">
        <v>69</v>
      </c>
      <c r="CD25" s="232" t="s">
        <v>70</v>
      </c>
      <c r="CE25" s="384" t="s">
        <v>71</v>
      </c>
      <c r="CF25" s="232" t="s">
        <v>250</v>
      </c>
      <c r="CG25" s="232" t="s">
        <v>69</v>
      </c>
      <c r="CH25" s="232" t="s">
        <v>70</v>
      </c>
      <c r="CI25" s="385"/>
    </row>
    <row r="26" spans="1:87" s="188" customFormat="1" ht="39" customHeight="1" x14ac:dyDescent="0.25">
      <c r="A26" s="232"/>
      <c r="B26" s="232"/>
      <c r="C26" s="232"/>
      <c r="D26" s="232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71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3"/>
      <c r="BD26" s="371"/>
      <c r="BE26" s="372"/>
      <c r="BF26" s="372"/>
      <c r="BG26" s="372"/>
      <c r="BH26" s="372"/>
      <c r="BI26" s="372"/>
      <c r="BJ26" s="372"/>
      <c r="BK26" s="372"/>
      <c r="BL26" s="372"/>
      <c r="BM26" s="373"/>
      <c r="BN26" s="371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3"/>
      <c r="CC26" s="232"/>
      <c r="CD26" s="232"/>
      <c r="CE26" s="386"/>
      <c r="CF26" s="232"/>
      <c r="CG26" s="232"/>
      <c r="CH26" s="232"/>
      <c r="CI26" s="386"/>
    </row>
    <row r="27" spans="1:87" s="188" customFormat="1" ht="15.6" x14ac:dyDescent="0.25">
      <c r="A27" s="361">
        <v>1</v>
      </c>
      <c r="B27" s="361"/>
      <c r="C27" s="361"/>
      <c r="D27" s="361"/>
      <c r="E27" s="361">
        <v>2</v>
      </c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>
        <v>3</v>
      </c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>
        <v>4</v>
      </c>
      <c r="BE27" s="361"/>
      <c r="BF27" s="361"/>
      <c r="BG27" s="361"/>
      <c r="BH27" s="361"/>
      <c r="BI27" s="361"/>
      <c r="BJ27" s="361"/>
      <c r="BK27" s="361"/>
      <c r="BL27" s="361"/>
      <c r="BM27" s="361"/>
      <c r="BN27" s="361" t="s">
        <v>114</v>
      </c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75">
        <v>6</v>
      </c>
      <c r="CD27" s="75">
        <v>7</v>
      </c>
      <c r="CE27" s="75">
        <v>8</v>
      </c>
      <c r="CF27" s="75">
        <v>9</v>
      </c>
      <c r="CG27" s="75">
        <v>9</v>
      </c>
      <c r="CH27" s="75">
        <v>10</v>
      </c>
      <c r="CI27" s="75">
        <v>11</v>
      </c>
    </row>
    <row r="28" spans="1:87" s="188" customFormat="1" ht="15.6" x14ac:dyDescent="0.25">
      <c r="A28" s="475"/>
      <c r="B28" s="475"/>
      <c r="C28" s="475"/>
      <c r="D28" s="475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/>
      <c r="BV28" s="457"/>
      <c r="BW28" s="457"/>
      <c r="BX28" s="457"/>
      <c r="BY28" s="457"/>
      <c r="BZ28" s="457"/>
      <c r="CA28" s="457"/>
      <c r="CB28" s="457"/>
      <c r="CC28" s="176"/>
      <c r="CD28" s="176"/>
      <c r="CE28" s="176"/>
      <c r="CF28" s="176"/>
      <c r="CG28" s="176"/>
      <c r="CH28" s="176"/>
      <c r="CI28" s="176"/>
    </row>
    <row r="29" spans="1:87" s="188" customFormat="1" ht="15.6" x14ac:dyDescent="0.25">
      <c r="A29" s="437" t="s">
        <v>291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9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 t="s">
        <v>1</v>
      </c>
      <c r="BE29" s="361"/>
      <c r="BF29" s="361"/>
      <c r="BG29" s="361"/>
      <c r="BH29" s="361"/>
      <c r="BI29" s="361"/>
      <c r="BJ29" s="361"/>
      <c r="BK29" s="361"/>
      <c r="BL29" s="361"/>
      <c r="BM29" s="361"/>
      <c r="BN29" s="457"/>
      <c r="BO29" s="457"/>
      <c r="BP29" s="457"/>
      <c r="BQ29" s="457"/>
      <c r="BR29" s="457"/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176"/>
      <c r="CD29" s="176"/>
      <c r="CE29" s="176"/>
      <c r="CF29" s="176"/>
      <c r="CG29" s="176"/>
      <c r="CH29" s="176"/>
      <c r="CI29" s="176"/>
    </row>
    <row r="30" spans="1:87" s="165" customFormat="1" ht="113.25" customHeight="1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</row>
    <row r="31" spans="1:87" s="166" customFormat="1" ht="17.25" customHeight="1" x14ac:dyDescent="0.25">
      <c r="A31" s="169" t="s">
        <v>292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</row>
    <row r="32" spans="1:87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6"/>
      <c r="CD32" s="166"/>
      <c r="CE32" s="166"/>
      <c r="CF32" s="166"/>
      <c r="CG32" s="166"/>
      <c r="CH32" s="166"/>
      <c r="CI32" s="166"/>
    </row>
    <row r="33" spans="1:87" ht="19.2" customHeight="1" x14ac:dyDescent="0.25">
      <c r="A33" s="232" t="s">
        <v>56</v>
      </c>
      <c r="B33" s="232"/>
      <c r="C33" s="232"/>
      <c r="D33" s="232"/>
      <c r="E33" s="361" t="s">
        <v>110</v>
      </c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 t="s">
        <v>241</v>
      </c>
      <c r="AT33" s="361"/>
      <c r="AU33" s="361"/>
      <c r="AV33" s="361"/>
      <c r="AW33" s="361"/>
      <c r="AX33" s="361"/>
      <c r="AY33" s="361"/>
      <c r="AZ33" s="361"/>
      <c r="BA33" s="361"/>
      <c r="BB33" s="361"/>
      <c r="BC33" s="232" t="s">
        <v>293</v>
      </c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361" t="s">
        <v>113</v>
      </c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 t="s">
        <v>61</v>
      </c>
      <c r="CD33" s="361"/>
      <c r="CE33" s="361"/>
      <c r="CF33" s="361"/>
      <c r="CG33" s="361"/>
      <c r="CH33" s="361"/>
      <c r="CI33" s="361"/>
    </row>
    <row r="34" spans="1:87" ht="72" customHeight="1" x14ac:dyDescent="0.25">
      <c r="A34" s="232"/>
      <c r="B34" s="232"/>
      <c r="C34" s="232"/>
      <c r="D34" s="232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232" t="s">
        <v>66</v>
      </c>
      <c r="CD34" s="232"/>
      <c r="CE34" s="239" t="s">
        <v>67</v>
      </c>
      <c r="CF34" s="240"/>
      <c r="CG34" s="240"/>
      <c r="CH34" s="241"/>
      <c r="CI34" s="384" t="s">
        <v>68</v>
      </c>
    </row>
    <row r="35" spans="1:87" x14ac:dyDescent="0.25">
      <c r="A35" s="232"/>
      <c r="B35" s="232"/>
      <c r="C35" s="232"/>
      <c r="D35" s="232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232" t="s">
        <v>69</v>
      </c>
      <c r="CD35" s="232" t="s">
        <v>70</v>
      </c>
      <c r="CE35" s="384" t="s">
        <v>71</v>
      </c>
      <c r="CF35" s="232" t="s">
        <v>250</v>
      </c>
      <c r="CG35" s="232" t="s">
        <v>69</v>
      </c>
      <c r="CH35" s="232" t="s">
        <v>70</v>
      </c>
      <c r="CI35" s="385"/>
    </row>
    <row r="36" spans="1:87" ht="22.5" customHeight="1" x14ac:dyDescent="0.25">
      <c r="A36" s="232"/>
      <c r="B36" s="232"/>
      <c r="C36" s="232"/>
      <c r="D36" s="232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232"/>
      <c r="CD36" s="232"/>
      <c r="CE36" s="386"/>
      <c r="CF36" s="232"/>
      <c r="CG36" s="232"/>
      <c r="CH36" s="232"/>
      <c r="CI36" s="386"/>
    </row>
    <row r="37" spans="1:87" x14ac:dyDescent="0.25">
      <c r="A37" s="361">
        <v>1</v>
      </c>
      <c r="B37" s="361"/>
      <c r="C37" s="361"/>
      <c r="D37" s="361"/>
      <c r="E37" s="361">
        <v>2</v>
      </c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>
        <v>3</v>
      </c>
      <c r="AT37" s="361"/>
      <c r="AU37" s="361"/>
      <c r="AV37" s="361"/>
      <c r="AW37" s="361"/>
      <c r="AX37" s="361"/>
      <c r="AY37" s="361"/>
      <c r="AZ37" s="361"/>
      <c r="BA37" s="361"/>
      <c r="BB37" s="361"/>
      <c r="BC37" s="361">
        <v>4</v>
      </c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 t="s">
        <v>114</v>
      </c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75">
        <v>6</v>
      </c>
      <c r="CD37" s="75">
        <v>7</v>
      </c>
      <c r="CE37" s="75">
        <v>8</v>
      </c>
      <c r="CF37" s="75">
        <v>9</v>
      </c>
      <c r="CG37" s="75">
        <v>9</v>
      </c>
      <c r="CH37" s="75">
        <v>10</v>
      </c>
      <c r="CI37" s="75">
        <v>11</v>
      </c>
    </row>
    <row r="38" spans="1:87" x14ac:dyDescent="0.25">
      <c r="A38" s="465">
        <v>1</v>
      </c>
      <c r="B38" s="466"/>
      <c r="C38" s="466"/>
      <c r="D38" s="467"/>
      <c r="E38" s="417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9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99"/>
      <c r="BD38" s="500"/>
      <c r="BE38" s="500"/>
      <c r="BF38" s="500"/>
      <c r="BG38" s="500"/>
      <c r="BH38" s="500"/>
      <c r="BI38" s="500"/>
      <c r="BJ38" s="500"/>
      <c r="BK38" s="500"/>
      <c r="BL38" s="500"/>
      <c r="BM38" s="501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206"/>
      <c r="CD38" s="206"/>
      <c r="CE38" s="207"/>
      <c r="CF38" s="206"/>
      <c r="CG38" s="206"/>
      <c r="CH38" s="206"/>
      <c r="CI38" s="206"/>
    </row>
    <row r="39" spans="1:87" x14ac:dyDescent="0.25">
      <c r="A39" s="437" t="s">
        <v>364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9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491"/>
      <c r="BO39" s="491"/>
      <c r="BP39" s="491"/>
      <c r="BQ39" s="491"/>
      <c r="BR39" s="491"/>
      <c r="BS39" s="491"/>
      <c r="BT39" s="491"/>
      <c r="BU39" s="491"/>
      <c r="BV39" s="491"/>
      <c r="BW39" s="491"/>
      <c r="BX39" s="491"/>
      <c r="BY39" s="491"/>
      <c r="BZ39" s="491"/>
      <c r="CA39" s="491"/>
      <c r="CB39" s="491"/>
      <c r="CC39" s="208"/>
      <c r="CD39" s="208"/>
      <c r="CE39" s="209"/>
      <c r="CF39" s="208"/>
      <c r="CG39" s="208"/>
      <c r="CH39" s="208"/>
      <c r="CI39" s="208"/>
    </row>
    <row r="41" spans="1:87" ht="15.6" x14ac:dyDescent="0.25">
      <c r="A41" s="169" t="s">
        <v>304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</row>
    <row r="42" spans="1:87" ht="21.75" customHeight="1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6"/>
      <c r="CD42" s="166"/>
      <c r="CE42" s="166"/>
      <c r="CF42" s="166"/>
      <c r="CG42" s="166"/>
      <c r="CH42" s="166"/>
      <c r="CI42" s="166"/>
    </row>
    <row r="43" spans="1:87" ht="12.75" customHeight="1" x14ac:dyDescent="0.25">
      <c r="A43" s="232" t="s">
        <v>56</v>
      </c>
      <c r="B43" s="232"/>
      <c r="C43" s="232"/>
      <c r="D43" s="232"/>
      <c r="E43" s="361" t="s">
        <v>110</v>
      </c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 t="s">
        <v>241</v>
      </c>
      <c r="AT43" s="361"/>
      <c r="AU43" s="361"/>
      <c r="AV43" s="361"/>
      <c r="AW43" s="361"/>
      <c r="AX43" s="361"/>
      <c r="AY43" s="361"/>
      <c r="AZ43" s="361"/>
      <c r="BA43" s="361"/>
      <c r="BB43" s="361"/>
      <c r="BC43" s="232" t="s">
        <v>305</v>
      </c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361" t="s">
        <v>113</v>
      </c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 t="s">
        <v>61</v>
      </c>
      <c r="CD43" s="361"/>
      <c r="CE43" s="361"/>
      <c r="CF43" s="361"/>
      <c r="CG43" s="361"/>
      <c r="CH43" s="361"/>
      <c r="CI43" s="361"/>
    </row>
    <row r="44" spans="1:87" x14ac:dyDescent="0.25">
      <c r="A44" s="232"/>
      <c r="B44" s="232"/>
      <c r="C44" s="232"/>
      <c r="D44" s="232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232" t="s">
        <v>66</v>
      </c>
      <c r="CD44" s="232"/>
      <c r="CE44" s="239" t="s">
        <v>67</v>
      </c>
      <c r="CF44" s="240"/>
      <c r="CG44" s="240"/>
      <c r="CH44" s="241"/>
      <c r="CI44" s="384" t="s">
        <v>68</v>
      </c>
    </row>
    <row r="45" spans="1:87" x14ac:dyDescent="0.25">
      <c r="A45" s="232"/>
      <c r="B45" s="232"/>
      <c r="C45" s="232"/>
      <c r="D45" s="232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232" t="s">
        <v>69</v>
      </c>
      <c r="CD45" s="232" t="s">
        <v>70</v>
      </c>
      <c r="CE45" s="384" t="s">
        <v>71</v>
      </c>
      <c r="CF45" s="232" t="s">
        <v>250</v>
      </c>
      <c r="CG45" s="232" t="s">
        <v>69</v>
      </c>
      <c r="CH45" s="232" t="s">
        <v>70</v>
      </c>
      <c r="CI45" s="385"/>
    </row>
    <row r="46" spans="1:87" x14ac:dyDescent="0.25">
      <c r="A46" s="232"/>
      <c r="B46" s="232"/>
      <c r="C46" s="232"/>
      <c r="D46" s="232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232"/>
      <c r="CD46" s="232"/>
      <c r="CE46" s="386"/>
      <c r="CF46" s="232"/>
      <c r="CG46" s="232"/>
      <c r="CH46" s="232"/>
      <c r="CI46" s="386"/>
    </row>
    <row r="47" spans="1:87" x14ac:dyDescent="0.25">
      <c r="A47" s="361">
        <v>1</v>
      </c>
      <c r="B47" s="361"/>
      <c r="C47" s="361"/>
      <c r="D47" s="361"/>
      <c r="E47" s="361">
        <v>2</v>
      </c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>
        <v>3</v>
      </c>
      <c r="AT47" s="361"/>
      <c r="AU47" s="361"/>
      <c r="AV47" s="361"/>
      <c r="AW47" s="361"/>
      <c r="AX47" s="361"/>
      <c r="AY47" s="361"/>
      <c r="AZ47" s="361"/>
      <c r="BA47" s="361"/>
      <c r="BB47" s="361"/>
      <c r="BC47" s="361">
        <v>4</v>
      </c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 t="s">
        <v>114</v>
      </c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75">
        <v>6</v>
      </c>
      <c r="CD47" s="75">
        <v>7</v>
      </c>
      <c r="CE47" s="75">
        <v>8</v>
      </c>
      <c r="CF47" s="75">
        <v>9</v>
      </c>
      <c r="CG47" s="75">
        <v>9</v>
      </c>
      <c r="CH47" s="75">
        <v>10</v>
      </c>
      <c r="CI47" s="75">
        <v>11</v>
      </c>
    </row>
    <row r="48" spans="1:87" x14ac:dyDescent="0.25">
      <c r="A48" s="475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504"/>
      <c r="BO48" s="504"/>
      <c r="BP48" s="504"/>
      <c r="BQ48" s="504"/>
      <c r="BR48" s="504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210"/>
      <c r="CD48" s="210"/>
      <c r="CE48" s="210"/>
      <c r="CF48" s="210"/>
      <c r="CG48" s="210"/>
      <c r="CH48" s="210"/>
      <c r="CI48" s="210"/>
    </row>
    <row r="49" spans="1:87" x14ac:dyDescent="0.25">
      <c r="A49" s="454" t="s">
        <v>306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6"/>
      <c r="AS49" s="361" t="s">
        <v>1</v>
      </c>
      <c r="AT49" s="361"/>
      <c r="AU49" s="361"/>
      <c r="AV49" s="361"/>
      <c r="AW49" s="361"/>
      <c r="AX49" s="361"/>
      <c r="AY49" s="361"/>
      <c r="AZ49" s="361"/>
      <c r="BA49" s="361"/>
      <c r="BB49" s="361"/>
      <c r="BC49" s="361" t="s">
        <v>1</v>
      </c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504"/>
      <c r="BO49" s="504"/>
      <c r="BP49" s="504"/>
      <c r="BQ49" s="504"/>
      <c r="BR49" s="504"/>
      <c r="BS49" s="504"/>
      <c r="BT49" s="504"/>
      <c r="BU49" s="504"/>
      <c r="BV49" s="504"/>
      <c r="BW49" s="504"/>
      <c r="BX49" s="504"/>
      <c r="BY49" s="504"/>
      <c r="BZ49" s="504"/>
      <c r="CA49" s="504"/>
      <c r="CB49" s="504"/>
      <c r="CC49" s="210"/>
      <c r="CD49" s="210"/>
      <c r="CE49" s="210"/>
      <c r="CF49" s="210"/>
      <c r="CG49" s="210"/>
      <c r="CH49" s="210"/>
      <c r="CI49" s="210"/>
    </row>
    <row r="50" spans="1:87" x14ac:dyDescent="0.25">
      <c r="A50" s="475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  <c r="BM50" s="457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210"/>
      <c r="CD50" s="210"/>
      <c r="CE50" s="210"/>
      <c r="CF50" s="210"/>
      <c r="CG50" s="210"/>
      <c r="CH50" s="210"/>
      <c r="CI50" s="210"/>
    </row>
    <row r="51" spans="1:87" ht="18" customHeight="1" x14ac:dyDescent="0.25">
      <c r="A51" s="454" t="s">
        <v>307</v>
      </c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6"/>
      <c r="AS51" s="361" t="s">
        <v>1</v>
      </c>
      <c r="AT51" s="361"/>
      <c r="AU51" s="361"/>
      <c r="AV51" s="361"/>
      <c r="AW51" s="361"/>
      <c r="AX51" s="361"/>
      <c r="AY51" s="361"/>
      <c r="AZ51" s="361"/>
      <c r="BA51" s="361"/>
      <c r="BB51" s="361"/>
      <c r="BC51" s="361" t="s">
        <v>1</v>
      </c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504"/>
      <c r="BO51" s="504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210"/>
      <c r="CD51" s="210"/>
      <c r="CE51" s="210"/>
      <c r="CF51" s="210"/>
      <c r="CG51" s="210"/>
      <c r="CH51" s="210"/>
      <c r="CI51" s="210"/>
    </row>
    <row r="52" spans="1:87" x14ac:dyDescent="0.25">
      <c r="A52" s="475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57"/>
      <c r="AT52" s="457"/>
      <c r="AU52" s="457"/>
      <c r="AV52" s="457"/>
      <c r="AW52" s="457"/>
      <c r="AX52" s="457"/>
      <c r="AY52" s="457"/>
      <c r="AZ52" s="457"/>
      <c r="BA52" s="457"/>
      <c r="BB52" s="457"/>
      <c r="BC52" s="503"/>
      <c r="BD52" s="457"/>
      <c r="BE52" s="457"/>
      <c r="BF52" s="457"/>
      <c r="BG52" s="457"/>
      <c r="BH52" s="457"/>
      <c r="BI52" s="457"/>
      <c r="BJ52" s="457"/>
      <c r="BK52" s="457"/>
      <c r="BL52" s="457"/>
      <c r="BM52" s="457"/>
      <c r="BN52" s="504"/>
      <c r="BO52" s="504"/>
      <c r="BP52" s="504"/>
      <c r="BQ52" s="504"/>
      <c r="BR52" s="504"/>
      <c r="BS52" s="504"/>
      <c r="BT52" s="504"/>
      <c r="BU52" s="504"/>
      <c r="BV52" s="504"/>
      <c r="BW52" s="504"/>
      <c r="BX52" s="504"/>
      <c r="BY52" s="504"/>
      <c r="BZ52" s="504"/>
      <c r="CA52" s="504"/>
      <c r="CB52" s="504"/>
      <c r="CC52" s="210"/>
      <c r="CD52" s="210"/>
      <c r="CE52" s="210"/>
      <c r="CF52" s="210"/>
      <c r="CG52" s="210"/>
      <c r="CH52" s="210"/>
      <c r="CI52" s="210"/>
    </row>
    <row r="53" spans="1:87" x14ac:dyDescent="0.25">
      <c r="A53" s="475">
        <v>1</v>
      </c>
      <c r="B53" s="475"/>
      <c r="C53" s="475"/>
      <c r="D53" s="475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83"/>
      <c r="BD53" s="483"/>
      <c r="BE53" s="483"/>
      <c r="BF53" s="483"/>
      <c r="BG53" s="483"/>
      <c r="BH53" s="483"/>
      <c r="BI53" s="483"/>
      <c r="BJ53" s="483"/>
      <c r="BK53" s="483"/>
      <c r="BL53" s="483"/>
      <c r="BM53" s="483"/>
      <c r="BN53" s="495"/>
      <c r="BO53" s="496"/>
      <c r="BP53" s="496"/>
      <c r="BQ53" s="496"/>
      <c r="BR53" s="496"/>
      <c r="BS53" s="496"/>
      <c r="BT53" s="496"/>
      <c r="BU53" s="496"/>
      <c r="BV53" s="496"/>
      <c r="BW53" s="496"/>
      <c r="BX53" s="496"/>
      <c r="BY53" s="496"/>
      <c r="BZ53" s="496"/>
      <c r="CA53" s="496"/>
      <c r="CB53" s="497"/>
      <c r="CC53" s="211"/>
      <c r="CD53" s="210"/>
      <c r="CE53" s="210"/>
      <c r="CF53" s="210"/>
      <c r="CG53" s="210"/>
      <c r="CH53" s="210"/>
      <c r="CI53" s="210"/>
    </row>
    <row r="54" spans="1:87" x14ac:dyDescent="0.25">
      <c r="A54" s="454" t="s">
        <v>309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55"/>
      <c r="AP54" s="455"/>
      <c r="AQ54" s="455"/>
      <c r="AR54" s="456"/>
      <c r="AS54" s="361" t="s">
        <v>1</v>
      </c>
      <c r="AT54" s="361"/>
      <c r="AU54" s="361"/>
      <c r="AV54" s="361"/>
      <c r="AW54" s="361"/>
      <c r="AX54" s="361"/>
      <c r="AY54" s="361"/>
      <c r="AZ54" s="361"/>
      <c r="BA54" s="361"/>
      <c r="BB54" s="361"/>
      <c r="BC54" s="361" t="s">
        <v>1</v>
      </c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507"/>
      <c r="BO54" s="508"/>
      <c r="BP54" s="508"/>
      <c r="BQ54" s="508"/>
      <c r="BR54" s="508"/>
      <c r="BS54" s="508"/>
      <c r="BT54" s="508"/>
      <c r="BU54" s="508"/>
      <c r="BV54" s="508"/>
      <c r="BW54" s="508"/>
      <c r="BX54" s="508"/>
      <c r="BY54" s="508"/>
      <c r="BZ54" s="508"/>
      <c r="CA54" s="508"/>
      <c r="CB54" s="509"/>
      <c r="CC54" s="212"/>
      <c r="CD54" s="210"/>
      <c r="CE54" s="210"/>
      <c r="CF54" s="210"/>
      <c r="CG54" s="210"/>
      <c r="CH54" s="210"/>
      <c r="CI54" s="210"/>
    </row>
    <row r="55" spans="1:87" x14ac:dyDescent="0.25">
      <c r="A55" s="475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57"/>
      <c r="AT55" s="457"/>
      <c r="AU55" s="457"/>
      <c r="AV55" s="457"/>
      <c r="AW55" s="457"/>
      <c r="AX55" s="457"/>
      <c r="AY55" s="457"/>
      <c r="AZ55" s="457"/>
      <c r="BA55" s="457"/>
      <c r="BB55" s="457"/>
      <c r="BC55" s="503"/>
      <c r="BD55" s="457"/>
      <c r="BE55" s="457"/>
      <c r="BF55" s="457"/>
      <c r="BG55" s="457"/>
      <c r="BH55" s="457"/>
      <c r="BI55" s="457"/>
      <c r="BJ55" s="457"/>
      <c r="BK55" s="457"/>
      <c r="BL55" s="457"/>
      <c r="BM55" s="457"/>
      <c r="BN55" s="504"/>
      <c r="BO55" s="504"/>
      <c r="BP55" s="504"/>
      <c r="BQ55" s="504"/>
      <c r="BR55" s="504"/>
      <c r="BS55" s="504"/>
      <c r="BT55" s="504"/>
      <c r="BU55" s="504"/>
      <c r="BV55" s="504"/>
      <c r="BW55" s="504"/>
      <c r="BX55" s="504"/>
      <c r="BY55" s="504"/>
      <c r="BZ55" s="504"/>
      <c r="CA55" s="504"/>
      <c r="CB55" s="504"/>
      <c r="CC55" s="210"/>
      <c r="CD55" s="210"/>
      <c r="CE55" s="210"/>
      <c r="CF55" s="210"/>
      <c r="CG55" s="210"/>
      <c r="CH55" s="210"/>
      <c r="CI55" s="210"/>
    </row>
    <row r="56" spans="1:87" x14ac:dyDescent="0.25">
      <c r="A56" s="475">
        <v>1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57"/>
      <c r="AT56" s="457"/>
      <c r="AU56" s="457"/>
      <c r="AV56" s="457"/>
      <c r="AW56" s="457"/>
      <c r="AX56" s="457"/>
      <c r="AY56" s="457"/>
      <c r="AZ56" s="457"/>
      <c r="BA56" s="457"/>
      <c r="BB56" s="457"/>
      <c r="BC56" s="483"/>
      <c r="BD56" s="483"/>
      <c r="BE56" s="483"/>
      <c r="BF56" s="483"/>
      <c r="BG56" s="483"/>
      <c r="BH56" s="483"/>
      <c r="BI56" s="483"/>
      <c r="BJ56" s="483"/>
      <c r="BK56" s="483"/>
      <c r="BL56" s="483"/>
      <c r="BM56" s="483"/>
      <c r="BN56" s="495"/>
      <c r="BO56" s="496"/>
      <c r="BP56" s="496"/>
      <c r="BQ56" s="496"/>
      <c r="BR56" s="496"/>
      <c r="BS56" s="496"/>
      <c r="BT56" s="496"/>
      <c r="BU56" s="496"/>
      <c r="BV56" s="496"/>
      <c r="BW56" s="496"/>
      <c r="BX56" s="496"/>
      <c r="BY56" s="496"/>
      <c r="BZ56" s="496"/>
      <c r="CA56" s="496"/>
      <c r="CB56" s="497"/>
      <c r="CC56" s="210"/>
      <c r="CD56" s="211"/>
      <c r="CE56" s="210"/>
      <c r="CF56" s="210"/>
      <c r="CG56" s="210"/>
      <c r="CH56" s="210"/>
      <c r="CI56" s="211"/>
    </row>
    <row r="57" spans="1:87" x14ac:dyDescent="0.25">
      <c r="A57" s="437" t="s">
        <v>311</v>
      </c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9"/>
      <c r="AS57" s="463" t="s">
        <v>1</v>
      </c>
      <c r="AT57" s="463"/>
      <c r="AU57" s="463"/>
      <c r="AV57" s="463"/>
      <c r="AW57" s="463"/>
      <c r="AX57" s="463"/>
      <c r="AY57" s="463"/>
      <c r="AZ57" s="463"/>
      <c r="BA57" s="463"/>
      <c r="BB57" s="463"/>
      <c r="BC57" s="463" t="s">
        <v>1</v>
      </c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507"/>
      <c r="BO57" s="508"/>
      <c r="BP57" s="508"/>
      <c r="BQ57" s="508"/>
      <c r="BR57" s="508"/>
      <c r="BS57" s="508"/>
      <c r="BT57" s="508"/>
      <c r="BU57" s="508"/>
      <c r="BV57" s="508"/>
      <c r="BW57" s="508"/>
      <c r="BX57" s="508"/>
      <c r="BY57" s="508"/>
      <c r="BZ57" s="508"/>
      <c r="CA57" s="508"/>
      <c r="CB57" s="509"/>
      <c r="CC57" s="213"/>
      <c r="CD57" s="212"/>
      <c r="CE57" s="213"/>
      <c r="CF57" s="213"/>
      <c r="CG57" s="213"/>
      <c r="CH57" s="213"/>
      <c r="CI57" s="212"/>
    </row>
    <row r="58" spans="1:87" x14ac:dyDescent="0.25">
      <c r="A58" s="475"/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57"/>
      <c r="AT58" s="457"/>
      <c r="AU58" s="457"/>
      <c r="AV58" s="457"/>
      <c r="AW58" s="457"/>
      <c r="AX58" s="457"/>
      <c r="AY58" s="457"/>
      <c r="AZ58" s="457"/>
      <c r="BA58" s="457"/>
      <c r="BB58" s="457"/>
      <c r="BC58" s="503"/>
      <c r="BD58" s="457"/>
      <c r="BE58" s="457"/>
      <c r="BF58" s="457"/>
      <c r="BG58" s="457"/>
      <c r="BH58" s="457"/>
      <c r="BI58" s="457"/>
      <c r="BJ58" s="457"/>
      <c r="BK58" s="457"/>
      <c r="BL58" s="457"/>
      <c r="BM58" s="457"/>
      <c r="BN58" s="504"/>
      <c r="BO58" s="504"/>
      <c r="BP58" s="504"/>
      <c r="BQ58" s="504"/>
      <c r="BR58" s="504"/>
      <c r="BS58" s="504"/>
      <c r="BT58" s="504"/>
      <c r="BU58" s="504"/>
      <c r="BV58" s="504"/>
      <c r="BW58" s="504"/>
      <c r="BX58" s="504"/>
      <c r="BY58" s="504"/>
      <c r="BZ58" s="504"/>
      <c r="CA58" s="504"/>
      <c r="CB58" s="504"/>
      <c r="CC58" s="210"/>
      <c r="CD58" s="210"/>
      <c r="CE58" s="210"/>
      <c r="CF58" s="210"/>
      <c r="CG58" s="210"/>
      <c r="CH58" s="210"/>
      <c r="CI58" s="210"/>
    </row>
    <row r="59" spans="1:87" ht="21" customHeight="1" x14ac:dyDescent="0.25">
      <c r="A59" s="454" t="s">
        <v>312</v>
      </c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6"/>
      <c r="AS59" s="361" t="s">
        <v>1</v>
      </c>
      <c r="AT59" s="361"/>
      <c r="AU59" s="361"/>
      <c r="AV59" s="361"/>
      <c r="AW59" s="361"/>
      <c r="AX59" s="361"/>
      <c r="AY59" s="361"/>
      <c r="AZ59" s="361"/>
      <c r="BA59" s="361"/>
      <c r="BB59" s="361"/>
      <c r="BC59" s="361" t="s">
        <v>1</v>
      </c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504"/>
      <c r="BO59" s="504"/>
      <c r="BP59" s="504"/>
      <c r="BQ59" s="504"/>
      <c r="BR59" s="504"/>
      <c r="BS59" s="504"/>
      <c r="BT59" s="504"/>
      <c r="BU59" s="504"/>
      <c r="BV59" s="504"/>
      <c r="BW59" s="504"/>
      <c r="BX59" s="504"/>
      <c r="BY59" s="504"/>
      <c r="BZ59" s="504"/>
      <c r="CA59" s="504"/>
      <c r="CB59" s="504"/>
      <c r="CC59" s="210"/>
      <c r="CD59" s="210"/>
      <c r="CE59" s="210"/>
      <c r="CF59" s="210"/>
      <c r="CG59" s="210"/>
      <c r="CH59" s="210"/>
      <c r="CI59" s="210"/>
    </row>
    <row r="60" spans="1:87" ht="23.25" customHeight="1" x14ac:dyDescent="0.25">
      <c r="A60" s="465">
        <v>15</v>
      </c>
      <c r="B60" s="466"/>
      <c r="C60" s="466"/>
      <c r="D60" s="467"/>
      <c r="E60" s="399" t="s">
        <v>365</v>
      </c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457"/>
      <c r="AT60" s="457"/>
      <c r="AU60" s="457"/>
      <c r="AV60" s="457"/>
      <c r="AW60" s="457"/>
      <c r="AX60" s="457"/>
      <c r="AY60" s="457"/>
      <c r="AZ60" s="457"/>
      <c r="BA60" s="457"/>
      <c r="BB60" s="457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495">
        <v>17623.59</v>
      </c>
      <c r="BO60" s="496"/>
      <c r="BP60" s="496"/>
      <c r="BQ60" s="496"/>
      <c r="BR60" s="496"/>
      <c r="BS60" s="496"/>
      <c r="BT60" s="496"/>
      <c r="BU60" s="496"/>
      <c r="BV60" s="496"/>
      <c r="BW60" s="496"/>
      <c r="BX60" s="496"/>
      <c r="BY60" s="496"/>
      <c r="BZ60" s="496"/>
      <c r="CA60" s="496"/>
      <c r="CB60" s="497"/>
      <c r="CC60" s="210"/>
      <c r="CD60" s="211"/>
      <c r="CE60" s="207" t="s">
        <v>362</v>
      </c>
      <c r="CF60" s="211"/>
      <c r="CG60" s="211"/>
      <c r="CH60" s="211">
        <f>BN60</f>
        <v>17623.59</v>
      </c>
      <c r="CI60" s="210"/>
    </row>
    <row r="61" spans="1:87" ht="21.75" customHeight="1" x14ac:dyDescent="0.25">
      <c r="A61" s="437" t="s">
        <v>325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9"/>
      <c r="AS61" s="361" t="s">
        <v>1</v>
      </c>
      <c r="AT61" s="361"/>
      <c r="AU61" s="361"/>
      <c r="AV61" s="361"/>
      <c r="AW61" s="361"/>
      <c r="AX61" s="361"/>
      <c r="AY61" s="361"/>
      <c r="AZ61" s="361"/>
      <c r="BA61" s="361"/>
      <c r="BB61" s="361"/>
      <c r="BC61" s="361" t="s">
        <v>1</v>
      </c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507">
        <f>SUM(BN60:CB60)</f>
        <v>17623.59</v>
      </c>
      <c r="BO61" s="508"/>
      <c r="BP61" s="508"/>
      <c r="BQ61" s="508"/>
      <c r="BR61" s="508"/>
      <c r="BS61" s="508"/>
      <c r="BT61" s="508"/>
      <c r="BU61" s="508"/>
      <c r="BV61" s="508"/>
      <c r="BW61" s="508"/>
      <c r="BX61" s="508"/>
      <c r="BY61" s="508"/>
      <c r="BZ61" s="508"/>
      <c r="CA61" s="508"/>
      <c r="CB61" s="509"/>
      <c r="CC61" s="210"/>
      <c r="CD61" s="212"/>
      <c r="CE61" s="212"/>
      <c r="CF61" s="212"/>
      <c r="CG61" s="212"/>
      <c r="CH61" s="212">
        <f>SUM(CH60:CH60)</f>
        <v>17623.59</v>
      </c>
      <c r="CI61" s="212"/>
    </row>
    <row r="62" spans="1:87" ht="30.6" customHeight="1" x14ac:dyDescent="0.25">
      <c r="A62" s="465">
        <v>1</v>
      </c>
      <c r="B62" s="466"/>
      <c r="C62" s="466"/>
      <c r="D62" s="467"/>
      <c r="E62" s="417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418"/>
      <c r="AM62" s="418"/>
      <c r="AN62" s="418"/>
      <c r="AO62" s="418"/>
      <c r="AP62" s="418"/>
      <c r="AQ62" s="418"/>
      <c r="AR62" s="419"/>
      <c r="AS62" s="454"/>
      <c r="AT62" s="455"/>
      <c r="AU62" s="455"/>
      <c r="AV62" s="455"/>
      <c r="AW62" s="455"/>
      <c r="AX62" s="455"/>
      <c r="AY62" s="455"/>
      <c r="AZ62" s="455"/>
      <c r="BA62" s="455"/>
      <c r="BB62" s="456"/>
      <c r="BC62" s="499"/>
      <c r="BD62" s="500"/>
      <c r="BE62" s="500"/>
      <c r="BF62" s="500"/>
      <c r="BG62" s="500"/>
      <c r="BH62" s="500"/>
      <c r="BI62" s="500"/>
      <c r="BJ62" s="500"/>
      <c r="BK62" s="500"/>
      <c r="BL62" s="500"/>
      <c r="BM62" s="501"/>
      <c r="BN62" s="495"/>
      <c r="BO62" s="496"/>
      <c r="BP62" s="496"/>
      <c r="BQ62" s="496"/>
      <c r="BR62" s="496"/>
      <c r="BS62" s="496"/>
      <c r="BT62" s="496"/>
      <c r="BU62" s="496"/>
      <c r="BV62" s="496"/>
      <c r="BW62" s="496"/>
      <c r="BX62" s="496"/>
      <c r="BY62" s="496"/>
      <c r="BZ62" s="496"/>
      <c r="CA62" s="496"/>
      <c r="CB62" s="497"/>
      <c r="CC62" s="210"/>
      <c r="CD62" s="210"/>
      <c r="CE62" s="214"/>
      <c r="CF62" s="211"/>
      <c r="CG62" s="211"/>
      <c r="CH62" s="211"/>
      <c r="CI62" s="210"/>
    </row>
    <row r="63" spans="1:87" ht="12.6" customHeight="1" x14ac:dyDescent="0.25">
      <c r="A63" s="437" t="s">
        <v>353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9"/>
      <c r="AS63" s="361" t="s">
        <v>1</v>
      </c>
      <c r="AT63" s="361"/>
      <c r="AU63" s="361"/>
      <c r="AV63" s="361"/>
      <c r="AW63" s="361"/>
      <c r="AX63" s="361"/>
      <c r="AY63" s="361"/>
      <c r="AZ63" s="361"/>
      <c r="BA63" s="361"/>
      <c r="BB63" s="361"/>
      <c r="BC63" s="361" t="s">
        <v>1</v>
      </c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505"/>
      <c r="BO63" s="506"/>
      <c r="BP63" s="506"/>
      <c r="BQ63" s="506"/>
      <c r="BR63" s="506"/>
      <c r="BS63" s="506"/>
      <c r="BT63" s="506"/>
      <c r="BU63" s="506"/>
      <c r="BV63" s="506"/>
      <c r="BW63" s="506"/>
      <c r="BX63" s="506"/>
      <c r="BY63" s="506"/>
      <c r="BZ63" s="506"/>
      <c r="CA63" s="506"/>
      <c r="CB63" s="506"/>
      <c r="CC63" s="210"/>
      <c r="CD63" s="212"/>
      <c r="CE63" s="212" t="s">
        <v>1</v>
      </c>
      <c r="CF63" s="212"/>
      <c r="CG63" s="212"/>
      <c r="CH63" s="212"/>
      <c r="CI63" s="210"/>
    </row>
    <row r="65" ht="39" customHeight="1" x14ac:dyDescent="0.25"/>
    <row r="67" ht="54" customHeight="1" x14ac:dyDescent="0.25"/>
    <row r="70" ht="51.75" customHeight="1" x14ac:dyDescent="0.25"/>
  </sheetData>
  <mergeCells count="209">
    <mergeCell ref="A33:D36"/>
    <mergeCell ref="A37:D37"/>
    <mergeCell ref="E37:AR37"/>
    <mergeCell ref="A49:AR49"/>
    <mergeCell ref="BN27:CB27"/>
    <mergeCell ref="A28:D28"/>
    <mergeCell ref="E28:AN28"/>
    <mergeCell ref="AS37:BB37"/>
    <mergeCell ref="BC37:BM37"/>
    <mergeCell ref="AO29:BC29"/>
    <mergeCell ref="BD29:BM29"/>
    <mergeCell ref="A29:AN29"/>
    <mergeCell ref="AS49:BB49"/>
    <mergeCell ref="BC49:BM49"/>
    <mergeCell ref="BN49:CB49"/>
    <mergeCell ref="BN50:CB50"/>
    <mergeCell ref="CC25:CC26"/>
    <mergeCell ref="BC48:BM48"/>
    <mergeCell ref="BN48:CB48"/>
    <mergeCell ref="BC47:BM47"/>
    <mergeCell ref="BN47:CB47"/>
    <mergeCell ref="BC50:BM50"/>
    <mergeCell ref="AS50:BB50"/>
    <mergeCell ref="BD28:BM28"/>
    <mergeCell ref="A63:AR63"/>
    <mergeCell ref="A62:D62"/>
    <mergeCell ref="E56:AR56"/>
    <mergeCell ref="A58:D58"/>
    <mergeCell ref="E58:AR58"/>
    <mergeCell ref="AS58:BB58"/>
    <mergeCell ref="AS63:BB63"/>
    <mergeCell ref="A60:D60"/>
    <mergeCell ref="E60:AR60"/>
    <mergeCell ref="AS60:BB60"/>
    <mergeCell ref="A56:D56"/>
    <mergeCell ref="AS57:BB57"/>
    <mergeCell ref="AS56:BB56"/>
    <mergeCell ref="AS59:BB59"/>
    <mergeCell ref="A57:AR57"/>
    <mergeCell ref="A59:AR59"/>
    <mergeCell ref="BC63:BM63"/>
    <mergeCell ref="BN63:CB63"/>
    <mergeCell ref="BN61:CB61"/>
    <mergeCell ref="BC61:BM61"/>
    <mergeCell ref="BN54:CB54"/>
    <mergeCell ref="BC59:BM59"/>
    <mergeCell ref="BN59:CB59"/>
    <mergeCell ref="BN56:CB56"/>
    <mergeCell ref="BN62:CB62"/>
    <mergeCell ref="BC60:BM60"/>
    <mergeCell ref="BN58:CB58"/>
    <mergeCell ref="BC57:BM57"/>
    <mergeCell ref="BC56:BM56"/>
    <mergeCell ref="BC58:BM58"/>
    <mergeCell ref="BN57:CB57"/>
    <mergeCell ref="BC54:BM54"/>
    <mergeCell ref="A50:D50"/>
    <mergeCell ref="A55:D55"/>
    <mergeCell ref="E55:AR55"/>
    <mergeCell ref="AS55:BB55"/>
    <mergeCell ref="BC55:BM55"/>
    <mergeCell ref="BN55:CB55"/>
    <mergeCell ref="A52:D52"/>
    <mergeCell ref="E52:AR52"/>
    <mergeCell ref="AS52:BB52"/>
    <mergeCell ref="BC52:BM52"/>
    <mergeCell ref="E53:AR53"/>
    <mergeCell ref="AS53:BB53"/>
    <mergeCell ref="AS54:BB54"/>
    <mergeCell ref="BN52:CB52"/>
    <mergeCell ref="BC51:BM51"/>
    <mergeCell ref="BN51:CB51"/>
    <mergeCell ref="AS51:BB51"/>
    <mergeCell ref="BC53:BM53"/>
    <mergeCell ref="BN53:CB53"/>
    <mergeCell ref="A51:AR51"/>
    <mergeCell ref="A54:AR54"/>
    <mergeCell ref="AS47:BB47"/>
    <mergeCell ref="CC43:CI43"/>
    <mergeCell ref="CC44:CD44"/>
    <mergeCell ref="CI44:CI46"/>
    <mergeCell ref="CC45:CC46"/>
    <mergeCell ref="CE44:CH44"/>
    <mergeCell ref="CE45:CE46"/>
    <mergeCell ref="CD45:CD46"/>
    <mergeCell ref="CG45:CG46"/>
    <mergeCell ref="AN3:BC6"/>
    <mergeCell ref="CE24:CH24"/>
    <mergeCell ref="CD15:CD16"/>
    <mergeCell ref="CH15:CH16"/>
    <mergeCell ref="E17:AN17"/>
    <mergeCell ref="CE5:CE6"/>
    <mergeCell ref="CH45:CH46"/>
    <mergeCell ref="CC23:CI23"/>
    <mergeCell ref="AO17:BC17"/>
    <mergeCell ref="AO13:BC16"/>
    <mergeCell ref="BD9:BM9"/>
    <mergeCell ref="CI24:CI26"/>
    <mergeCell ref="CD35:CD36"/>
    <mergeCell ref="CD25:CD26"/>
    <mergeCell ref="BN28:CB28"/>
    <mergeCell ref="AO27:BC27"/>
    <mergeCell ref="CF45:CF46"/>
    <mergeCell ref="CG25:CG26"/>
    <mergeCell ref="E3:AM6"/>
    <mergeCell ref="CG5:CG6"/>
    <mergeCell ref="CH5:CH6"/>
    <mergeCell ref="BD7:BM7"/>
    <mergeCell ref="BN17:CB17"/>
    <mergeCell ref="A19:AN19"/>
    <mergeCell ref="CC13:CI13"/>
    <mergeCell ref="CI14:CI16"/>
    <mergeCell ref="A3:D6"/>
    <mergeCell ref="A9:AM9"/>
    <mergeCell ref="E7:AM7"/>
    <mergeCell ref="BN3:CB6"/>
    <mergeCell ref="CC3:CI3"/>
    <mergeCell ref="CC4:CD4"/>
    <mergeCell ref="AN9:BC9"/>
    <mergeCell ref="A7:D7"/>
    <mergeCell ref="CC5:CC6"/>
    <mergeCell ref="CE4:CH4"/>
    <mergeCell ref="BD3:BM6"/>
    <mergeCell ref="CI4:CI6"/>
    <mergeCell ref="BN8:CB8"/>
    <mergeCell ref="CD5:CD6"/>
    <mergeCell ref="AN7:BC7"/>
    <mergeCell ref="BN7:CB7"/>
    <mergeCell ref="A13:D16"/>
    <mergeCell ref="CC15:CC16"/>
    <mergeCell ref="BD17:BM17"/>
    <mergeCell ref="E18:AN18"/>
    <mergeCell ref="AO18:BC18"/>
    <mergeCell ref="E13:AN16"/>
    <mergeCell ref="A17:D17"/>
    <mergeCell ref="A18:D18"/>
    <mergeCell ref="BN18:CB18"/>
    <mergeCell ref="CE14:CH14"/>
    <mergeCell ref="CE15:CE16"/>
    <mergeCell ref="CE34:CH34"/>
    <mergeCell ref="AO23:BC26"/>
    <mergeCell ref="BD23:BM26"/>
    <mergeCell ref="CC14:CD14"/>
    <mergeCell ref="CH35:CH36"/>
    <mergeCell ref="CE35:CE36"/>
    <mergeCell ref="AS33:BB36"/>
    <mergeCell ref="BC33:BM36"/>
    <mergeCell ref="BN23:CB26"/>
    <mergeCell ref="BN29:CB29"/>
    <mergeCell ref="CC33:CI33"/>
    <mergeCell ref="CC24:CD24"/>
    <mergeCell ref="CG15:CG16"/>
    <mergeCell ref="CI34:CI36"/>
    <mergeCell ref="CC35:CC36"/>
    <mergeCell ref="BN33:CB36"/>
    <mergeCell ref="AO28:BC28"/>
    <mergeCell ref="CC34:CD34"/>
    <mergeCell ref="CG35:CG36"/>
    <mergeCell ref="CE25:CE26"/>
    <mergeCell ref="CH25:CH26"/>
    <mergeCell ref="BD19:BM19"/>
    <mergeCell ref="CF5:CF6"/>
    <mergeCell ref="CF15:CF16"/>
    <mergeCell ref="CF25:CF26"/>
    <mergeCell ref="CF35:CF36"/>
    <mergeCell ref="E48:AR48"/>
    <mergeCell ref="E62:AR62"/>
    <mergeCell ref="AS62:BB62"/>
    <mergeCell ref="BC62:BM62"/>
    <mergeCell ref="AS38:BB38"/>
    <mergeCell ref="BC38:BM38"/>
    <mergeCell ref="E50:AR50"/>
    <mergeCell ref="A61:AR61"/>
    <mergeCell ref="AS61:BB61"/>
    <mergeCell ref="A43:D46"/>
    <mergeCell ref="A8:D8"/>
    <mergeCell ref="E8:AM8"/>
    <mergeCell ref="BD8:BM8"/>
    <mergeCell ref="AN8:BC8"/>
    <mergeCell ref="BD18:BM18"/>
    <mergeCell ref="BN19:CB19"/>
    <mergeCell ref="AO19:BC19"/>
    <mergeCell ref="BD13:BM16"/>
    <mergeCell ref="BN13:CB16"/>
    <mergeCell ref="BN9:CB9"/>
    <mergeCell ref="BN60:CB60"/>
    <mergeCell ref="A23:D26"/>
    <mergeCell ref="E23:AN26"/>
    <mergeCell ref="E33:AR36"/>
    <mergeCell ref="A27:D27"/>
    <mergeCell ref="E27:AN27"/>
    <mergeCell ref="BD27:BM27"/>
    <mergeCell ref="A38:D38"/>
    <mergeCell ref="E38:AR38"/>
    <mergeCell ref="A39:AR39"/>
    <mergeCell ref="A48:D48"/>
    <mergeCell ref="A53:D53"/>
    <mergeCell ref="AS39:BB39"/>
    <mergeCell ref="A47:D47"/>
    <mergeCell ref="E47:AR47"/>
    <mergeCell ref="AS48:BB48"/>
    <mergeCell ref="E43:AR46"/>
    <mergeCell ref="BN38:CB38"/>
    <mergeCell ref="AS43:BB46"/>
    <mergeCell ref="BC43:BM46"/>
    <mergeCell ref="BN43:CB46"/>
    <mergeCell ref="BN37:CB37"/>
    <mergeCell ref="BC39:BM39"/>
    <mergeCell ref="BN39:CB39"/>
  </mergeCells>
  <pageMargins left="0.78740157480314965" right="0.39370078740157483" top="0.59055118110236227" bottom="0.39370078740157483" header="0.27559055118110237" footer="0.27559055118110237"/>
  <pageSetup paperSize="9" scale="7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H39"/>
  <sheetViews>
    <sheetView workbookViewId="0">
      <selection activeCell="BD28" sqref="BD28"/>
    </sheetView>
  </sheetViews>
  <sheetFormatPr defaultColWidth="1.109375" defaultRowHeight="13.2" x14ac:dyDescent="0.25"/>
  <cols>
    <col min="1" max="1" width="2.109375" style="71" bestFit="1" customWidth="1"/>
    <col min="2" max="80" width="1.109375" style="71"/>
    <col min="81" max="83" width="9.44140625" style="71" customWidth="1"/>
    <col min="84" max="84" width="9.109375" style="71" customWidth="1"/>
    <col min="85" max="85" width="8.44140625" style="71" customWidth="1"/>
    <col min="86" max="86" width="15.109375" style="71" customWidth="1"/>
    <col min="87" max="16384" width="1.109375" style="71"/>
  </cols>
  <sheetData>
    <row r="1" spans="1:86" ht="15.6" x14ac:dyDescent="0.3">
      <c r="A1" s="65" t="s">
        <v>354</v>
      </c>
    </row>
    <row r="3" spans="1:86" s="65" customFormat="1" ht="15.6" x14ac:dyDescent="0.3">
      <c r="A3" s="70" t="s">
        <v>355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4" spans="1:86" s="67" customFormat="1" ht="7.8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6" ht="12.75" customHeight="1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5" t="s">
        <v>202</v>
      </c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7"/>
      <c r="CC5" s="427"/>
      <c r="CD5" s="427"/>
      <c r="CE5" s="427"/>
      <c r="CF5" s="427"/>
      <c r="CG5" s="427"/>
      <c r="CH5" s="427"/>
    </row>
    <row r="6" spans="1:86" ht="83.2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8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70"/>
      <c r="CC6" s="369"/>
      <c r="CD6" s="369"/>
      <c r="CE6" s="369"/>
      <c r="CF6" s="369"/>
      <c r="CG6" s="369"/>
      <c r="CH6" s="369"/>
    </row>
    <row r="7" spans="1:86" ht="12.75" customHeight="1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8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70"/>
      <c r="CC7" s="426"/>
      <c r="CD7" s="426"/>
      <c r="CE7" s="426"/>
      <c r="CF7" s="426"/>
      <c r="CG7" s="426"/>
      <c r="CH7" s="369"/>
    </row>
    <row r="8" spans="1:86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71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3"/>
      <c r="CC8" s="426"/>
      <c r="CD8" s="426"/>
      <c r="CE8" s="426"/>
      <c r="CF8" s="426"/>
      <c r="CG8" s="426"/>
      <c r="CH8" s="369"/>
    </row>
    <row r="9" spans="1:86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2">
        <v>3</v>
      </c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4"/>
      <c r="CC9" s="139"/>
      <c r="CD9" s="139"/>
      <c r="CE9" s="139"/>
      <c r="CF9" s="139"/>
      <c r="CG9" s="139"/>
      <c r="CH9" s="139"/>
    </row>
    <row r="10" spans="1:86" x14ac:dyDescent="0.25">
      <c r="A10" s="354"/>
      <c r="B10" s="354"/>
      <c r="C10" s="354"/>
      <c r="D10" s="354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4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235"/>
      <c r="CC10" s="137"/>
      <c r="CD10" s="137"/>
      <c r="CE10" s="137"/>
      <c r="CF10" s="137"/>
      <c r="CG10" s="137"/>
      <c r="CH10" s="137"/>
    </row>
    <row r="11" spans="1:86" x14ac:dyDescent="0.25">
      <c r="A11" s="354"/>
      <c r="B11" s="354"/>
      <c r="C11" s="354"/>
      <c r="D11" s="354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4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235"/>
      <c r="CC11" s="137"/>
      <c r="CD11" s="137"/>
      <c r="CE11" s="137"/>
      <c r="CF11" s="137"/>
      <c r="CG11" s="137"/>
      <c r="CH11" s="137"/>
    </row>
    <row r="12" spans="1:86" x14ac:dyDescent="0.25">
      <c r="A12" s="228" t="s">
        <v>356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30"/>
      <c r="AO12" s="234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235"/>
      <c r="CC12" s="137"/>
      <c r="CD12" s="137"/>
      <c r="CE12" s="137"/>
      <c r="CF12" s="137"/>
      <c r="CG12" s="137"/>
      <c r="CH12" s="137"/>
    </row>
    <row r="13" spans="1:86" s="90" customFormat="1" ht="15.6" x14ac:dyDescent="0.3"/>
    <row r="14" spans="1:86" s="90" customFormat="1" ht="46.95" customHeight="1" x14ac:dyDescent="0.3">
      <c r="A14" s="245" t="s">
        <v>357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</row>
    <row r="15" spans="1:86" s="90" customFormat="1" ht="15.6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7"/>
      <c r="CD15" s="67"/>
      <c r="CE15" s="67"/>
      <c r="CF15" s="67"/>
      <c r="CG15" s="67"/>
      <c r="CH15" s="67"/>
    </row>
    <row r="16" spans="1:86" s="90" customFormat="1" ht="15.6" x14ac:dyDescent="0.3">
      <c r="A16" s="232" t="s">
        <v>56</v>
      </c>
      <c r="B16" s="232"/>
      <c r="C16" s="232"/>
      <c r="D16" s="232"/>
      <c r="E16" s="361" t="s">
        <v>110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5" t="s">
        <v>241</v>
      </c>
      <c r="AT16" s="366"/>
      <c r="AU16" s="366"/>
      <c r="AV16" s="366"/>
      <c r="AW16" s="366"/>
      <c r="AX16" s="366"/>
      <c r="AY16" s="366"/>
      <c r="AZ16" s="366"/>
      <c r="BA16" s="366"/>
      <c r="BB16" s="367"/>
      <c r="BC16" s="232" t="s">
        <v>202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365" t="s">
        <v>113</v>
      </c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7"/>
      <c r="CC16" s="427"/>
      <c r="CD16" s="427"/>
      <c r="CE16" s="427"/>
      <c r="CF16" s="427"/>
      <c r="CG16" s="427"/>
      <c r="CH16" s="427"/>
    </row>
    <row r="17" spans="1:86" s="90" customFormat="1" ht="84" customHeight="1" x14ac:dyDescent="0.3">
      <c r="A17" s="232"/>
      <c r="B17" s="232"/>
      <c r="C17" s="232"/>
      <c r="D17" s="232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8"/>
      <c r="AT17" s="369"/>
      <c r="AU17" s="369"/>
      <c r="AV17" s="369"/>
      <c r="AW17" s="369"/>
      <c r="AX17" s="369"/>
      <c r="AY17" s="369"/>
      <c r="AZ17" s="369"/>
      <c r="BA17" s="369"/>
      <c r="BB17" s="37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368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0"/>
      <c r="CC17" s="369"/>
      <c r="CD17" s="369"/>
      <c r="CE17" s="369"/>
      <c r="CF17" s="369"/>
      <c r="CG17" s="369"/>
      <c r="CH17" s="369"/>
    </row>
    <row r="18" spans="1:86" s="90" customFormat="1" ht="15.6" x14ac:dyDescent="0.3">
      <c r="A18" s="232"/>
      <c r="B18" s="232"/>
      <c r="C18" s="232"/>
      <c r="D18" s="232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8"/>
      <c r="AT18" s="369"/>
      <c r="AU18" s="369"/>
      <c r="AV18" s="369"/>
      <c r="AW18" s="369"/>
      <c r="AX18" s="369"/>
      <c r="AY18" s="369"/>
      <c r="AZ18" s="369"/>
      <c r="BA18" s="369"/>
      <c r="BB18" s="37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368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0"/>
      <c r="CC18" s="426"/>
      <c r="CD18" s="426"/>
      <c r="CE18" s="426"/>
      <c r="CF18" s="426"/>
      <c r="CG18" s="426"/>
      <c r="CH18" s="369"/>
    </row>
    <row r="19" spans="1:86" s="90" customFormat="1" ht="15.6" x14ac:dyDescent="0.3">
      <c r="A19" s="232"/>
      <c r="B19" s="232"/>
      <c r="C19" s="232"/>
      <c r="D19" s="232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71"/>
      <c r="AT19" s="372"/>
      <c r="AU19" s="372"/>
      <c r="AV19" s="372"/>
      <c r="AW19" s="372"/>
      <c r="AX19" s="372"/>
      <c r="AY19" s="372"/>
      <c r="AZ19" s="372"/>
      <c r="BA19" s="372"/>
      <c r="BB19" s="373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371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3"/>
      <c r="CC19" s="426"/>
      <c r="CD19" s="426"/>
      <c r="CE19" s="426"/>
      <c r="CF19" s="426"/>
      <c r="CG19" s="426"/>
      <c r="CH19" s="369"/>
    </row>
    <row r="20" spans="1:86" s="90" customFormat="1" ht="15.6" x14ac:dyDescent="0.3">
      <c r="A20" s="361">
        <v>1</v>
      </c>
      <c r="B20" s="361"/>
      <c r="C20" s="361"/>
      <c r="D20" s="361"/>
      <c r="E20" s="361">
        <v>2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>
        <v>3</v>
      </c>
      <c r="AT20" s="361"/>
      <c r="AU20" s="361"/>
      <c r="AV20" s="361"/>
      <c r="AW20" s="361"/>
      <c r="AX20" s="361"/>
      <c r="AY20" s="361"/>
      <c r="AZ20" s="361"/>
      <c r="BA20" s="361"/>
      <c r="BB20" s="361"/>
      <c r="BC20" s="361">
        <v>4</v>
      </c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 t="s">
        <v>114</v>
      </c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139"/>
      <c r="CD20" s="139"/>
      <c r="CE20" s="139"/>
      <c r="CF20" s="139"/>
      <c r="CG20" s="139"/>
      <c r="CH20" s="139"/>
    </row>
    <row r="21" spans="1:86" s="90" customFormat="1" ht="15.6" x14ac:dyDescent="0.3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413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137"/>
      <c r="CD21" s="137"/>
      <c r="CE21" s="137"/>
      <c r="CF21" s="137"/>
      <c r="CG21" s="137"/>
      <c r="CH21" s="137"/>
    </row>
    <row r="22" spans="1:86" s="90" customFormat="1" ht="15.6" x14ac:dyDescent="0.3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137"/>
      <c r="CD22" s="137"/>
      <c r="CE22" s="137"/>
      <c r="CF22" s="137"/>
      <c r="CG22" s="137"/>
      <c r="CH22" s="137"/>
    </row>
    <row r="23" spans="1:86" s="90" customFormat="1" ht="15.6" x14ac:dyDescent="0.3">
      <c r="A23" s="228" t="s">
        <v>303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30"/>
      <c r="AS23" s="236" t="s">
        <v>1</v>
      </c>
      <c r="AT23" s="236"/>
      <c r="AU23" s="236"/>
      <c r="AV23" s="236"/>
      <c r="AW23" s="236"/>
      <c r="AX23" s="236"/>
      <c r="AY23" s="236"/>
      <c r="AZ23" s="236"/>
      <c r="BA23" s="236"/>
      <c r="BB23" s="236"/>
      <c r="BC23" s="236" t="s">
        <v>1</v>
      </c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137"/>
      <c r="CD23" s="137"/>
      <c r="CE23" s="137"/>
      <c r="CF23" s="137"/>
      <c r="CG23" s="137"/>
      <c r="CH23" s="137"/>
    </row>
    <row r="24" spans="1:86" s="90" customFormat="1" ht="15.6" x14ac:dyDescent="0.3"/>
    <row r="25" spans="1:86" s="90" customFormat="1" ht="15.6" x14ac:dyDescent="0.3"/>
    <row r="26" spans="1:86" s="90" customFormat="1" ht="15.6" x14ac:dyDescent="0.3"/>
    <row r="27" spans="1:86" s="90" customFormat="1" ht="15.6" x14ac:dyDescent="0.3"/>
    <row r="28" spans="1:86" s="90" customFormat="1" ht="15.6" x14ac:dyDescent="0.3"/>
    <row r="29" spans="1:86" s="90" customFormat="1" ht="15.6" x14ac:dyDescent="0.3"/>
    <row r="30" spans="1:86" ht="15.6" x14ac:dyDescent="0.3">
      <c r="A30" s="428" t="s">
        <v>358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</row>
    <row r="31" spans="1:86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7"/>
      <c r="CD31" s="67"/>
      <c r="CE31" s="67"/>
      <c r="CF31" s="67"/>
      <c r="CG31" s="67"/>
      <c r="CH31" s="67"/>
    </row>
    <row r="32" spans="1:86" x14ac:dyDescent="0.25">
      <c r="A32" s="232" t="s">
        <v>56</v>
      </c>
      <c r="B32" s="232"/>
      <c r="C32" s="232"/>
      <c r="D32" s="232"/>
      <c r="E32" s="361" t="s">
        <v>110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 t="s">
        <v>241</v>
      </c>
      <c r="AT32" s="361"/>
      <c r="AU32" s="361"/>
      <c r="AV32" s="361"/>
      <c r="AW32" s="361"/>
      <c r="AX32" s="361"/>
      <c r="AY32" s="361"/>
      <c r="AZ32" s="361"/>
      <c r="BA32" s="361"/>
      <c r="BB32" s="361"/>
      <c r="BC32" s="232" t="s">
        <v>202</v>
      </c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361" t="s">
        <v>113</v>
      </c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427"/>
      <c r="CD32" s="427"/>
      <c r="CE32" s="427"/>
      <c r="CF32" s="427"/>
      <c r="CG32" s="427"/>
      <c r="CH32" s="427"/>
    </row>
    <row r="33" spans="1:86" ht="79.5" customHeight="1" x14ac:dyDescent="0.25">
      <c r="A33" s="232"/>
      <c r="B33" s="232"/>
      <c r="C33" s="232"/>
      <c r="D33" s="232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9"/>
      <c r="CD33" s="369"/>
      <c r="CE33" s="369"/>
      <c r="CF33" s="369"/>
      <c r="CG33" s="369"/>
      <c r="CH33" s="369"/>
    </row>
    <row r="34" spans="1:86" ht="12.75" customHeight="1" x14ac:dyDescent="0.25">
      <c r="A34" s="232"/>
      <c r="B34" s="232"/>
      <c r="C34" s="232"/>
      <c r="D34" s="232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426"/>
      <c r="CD34" s="426"/>
      <c r="CE34" s="426"/>
      <c r="CF34" s="426"/>
      <c r="CG34" s="426"/>
      <c r="CH34" s="369"/>
    </row>
    <row r="35" spans="1:86" x14ac:dyDescent="0.25">
      <c r="A35" s="232"/>
      <c r="B35" s="232"/>
      <c r="C35" s="232"/>
      <c r="D35" s="232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426"/>
      <c r="CD35" s="426"/>
      <c r="CE35" s="426"/>
      <c r="CF35" s="426"/>
      <c r="CG35" s="426"/>
      <c r="CH35" s="369"/>
    </row>
    <row r="36" spans="1:86" x14ac:dyDescent="0.25">
      <c r="A36" s="361">
        <v>1</v>
      </c>
      <c r="B36" s="361"/>
      <c r="C36" s="361"/>
      <c r="D36" s="361"/>
      <c r="E36" s="361">
        <v>2</v>
      </c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>
        <v>3</v>
      </c>
      <c r="AT36" s="361"/>
      <c r="AU36" s="361"/>
      <c r="AV36" s="361"/>
      <c r="AW36" s="361"/>
      <c r="AX36" s="361"/>
      <c r="AY36" s="361"/>
      <c r="AZ36" s="361"/>
      <c r="BA36" s="361"/>
      <c r="BB36" s="361"/>
      <c r="BC36" s="361">
        <v>4</v>
      </c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 t="s">
        <v>114</v>
      </c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139"/>
      <c r="CD36" s="139"/>
      <c r="CE36" s="139"/>
      <c r="CF36" s="139"/>
      <c r="CG36" s="139"/>
      <c r="CH36" s="139"/>
    </row>
    <row r="37" spans="1:86" x14ac:dyDescent="0.25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413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137"/>
      <c r="CD37" s="137"/>
      <c r="CE37" s="137"/>
      <c r="CF37" s="137"/>
      <c r="CG37" s="137"/>
      <c r="CH37" s="137"/>
    </row>
    <row r="38" spans="1:86" x14ac:dyDescent="0.25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137"/>
      <c r="CD38" s="137"/>
      <c r="CE38" s="137"/>
      <c r="CF38" s="137"/>
      <c r="CG38" s="137"/>
      <c r="CH38" s="137"/>
    </row>
    <row r="39" spans="1:86" x14ac:dyDescent="0.25">
      <c r="A39" s="228" t="s">
        <v>359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30"/>
      <c r="AS39" s="236" t="s">
        <v>1</v>
      </c>
      <c r="AT39" s="236"/>
      <c r="AU39" s="236"/>
      <c r="AV39" s="236"/>
      <c r="AW39" s="236"/>
      <c r="AX39" s="236"/>
      <c r="AY39" s="236"/>
      <c r="AZ39" s="236"/>
      <c r="BA39" s="236"/>
      <c r="BB39" s="236"/>
      <c r="BC39" s="236" t="s">
        <v>1</v>
      </c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137"/>
      <c r="CD39" s="137"/>
      <c r="CE39" s="137"/>
      <c r="CF39" s="137"/>
      <c r="CG39" s="137"/>
      <c r="CH39" s="137"/>
    </row>
  </sheetData>
  <mergeCells count="91">
    <mergeCell ref="A22:D22"/>
    <mergeCell ref="E22:AR22"/>
    <mergeCell ref="AS22:BB22"/>
    <mergeCell ref="BC22:BM22"/>
    <mergeCell ref="BN22:CB22"/>
    <mergeCell ref="A21:D21"/>
    <mergeCell ref="E21:AR21"/>
    <mergeCell ref="CH17:CH19"/>
    <mergeCell ref="CC18:CC19"/>
    <mergeCell ref="CD18:CD19"/>
    <mergeCell ref="CE18:CE19"/>
    <mergeCell ref="CF18:CF19"/>
    <mergeCell ref="CC17:CD17"/>
    <mergeCell ref="CE17:CG17"/>
    <mergeCell ref="BN20:CB20"/>
    <mergeCell ref="E20:AR20"/>
    <mergeCell ref="AS21:BB21"/>
    <mergeCell ref="BC21:BM21"/>
    <mergeCell ref="BN21:CB21"/>
    <mergeCell ref="AS20:BB20"/>
    <mergeCell ref="BC20:BM20"/>
    <mergeCell ref="CG7:CG8"/>
    <mergeCell ref="CG18:CG19"/>
    <mergeCell ref="A5:D8"/>
    <mergeCell ref="E5:AN8"/>
    <mergeCell ref="CC16:CH16"/>
    <mergeCell ref="A14:CH14"/>
    <mergeCell ref="CC5:CH5"/>
    <mergeCell ref="CC6:CD6"/>
    <mergeCell ref="CE6:CG6"/>
    <mergeCell ref="CH6:CH8"/>
    <mergeCell ref="AO5:CB8"/>
    <mergeCell ref="AO9:CB9"/>
    <mergeCell ref="AO10:CB10"/>
    <mergeCell ref="AO11:CB11"/>
    <mergeCell ref="AO12:CB12"/>
    <mergeCell ref="CC7:CC8"/>
    <mergeCell ref="CD7:CD8"/>
    <mergeCell ref="CE7:CE8"/>
    <mergeCell ref="CF7:CF8"/>
    <mergeCell ref="A11:D11"/>
    <mergeCell ref="E11:AN11"/>
    <mergeCell ref="A30:CH30"/>
    <mergeCell ref="A23:AR23"/>
    <mergeCell ref="AS23:BB23"/>
    <mergeCell ref="BC23:BM23"/>
    <mergeCell ref="BN23:CB23"/>
    <mergeCell ref="A12:AN12"/>
    <mergeCell ref="A9:D9"/>
    <mergeCell ref="E9:AN9"/>
    <mergeCell ref="A10:D10"/>
    <mergeCell ref="E10:AN10"/>
    <mergeCell ref="CC32:CH32"/>
    <mergeCell ref="CC33:CD33"/>
    <mergeCell ref="CE33:CG33"/>
    <mergeCell ref="CH33:CH35"/>
    <mergeCell ref="CC34:CC35"/>
    <mergeCell ref="CD34:CD35"/>
    <mergeCell ref="CE34:CE35"/>
    <mergeCell ref="CF34:CF35"/>
    <mergeCell ref="CG34:CG35"/>
    <mergeCell ref="A32:D35"/>
    <mergeCell ref="E32:AR35"/>
    <mergeCell ref="AS32:BB35"/>
    <mergeCell ref="BC32:BM35"/>
    <mergeCell ref="BN32:CB35"/>
    <mergeCell ref="E38:AR38"/>
    <mergeCell ref="AS38:BB38"/>
    <mergeCell ref="BC38:BM38"/>
    <mergeCell ref="BN38:CB38"/>
    <mergeCell ref="A36:D36"/>
    <mergeCell ref="E36:AR36"/>
    <mergeCell ref="AS36:BB36"/>
    <mergeCell ref="BC36:BM36"/>
    <mergeCell ref="BN36:CB36"/>
    <mergeCell ref="A39:AR39"/>
    <mergeCell ref="AS39:BB39"/>
    <mergeCell ref="BC39:BM39"/>
    <mergeCell ref="BN39:CB39"/>
    <mergeCell ref="A16:D19"/>
    <mergeCell ref="E16:AR19"/>
    <mergeCell ref="AS16:BB19"/>
    <mergeCell ref="BC16:BM19"/>
    <mergeCell ref="BN16:CB19"/>
    <mergeCell ref="A20:D20"/>
    <mergeCell ref="A37:D37"/>
    <mergeCell ref="E37:AR37"/>
    <mergeCell ref="AS37:BB37"/>
    <mergeCell ref="BC37:BM37"/>
    <mergeCell ref="BN37:CB37"/>
    <mergeCell ref="A38:D3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32"/>
  <sheetViews>
    <sheetView workbookViewId="0">
      <selection activeCell="E66" sqref="E66"/>
    </sheetView>
  </sheetViews>
  <sheetFormatPr defaultColWidth="1.109375" defaultRowHeight="15.6" x14ac:dyDescent="0.3"/>
  <cols>
    <col min="1" max="1" width="4" style="90" customWidth="1"/>
    <col min="2" max="2" width="17" style="90" customWidth="1"/>
    <col min="3" max="3" width="12.88671875" style="90" customWidth="1"/>
    <col min="4" max="4" width="11.109375" style="90" customWidth="1"/>
    <col min="5" max="5" width="12.88671875" style="90" customWidth="1"/>
    <col min="6" max="6" width="16.33203125" style="90" customWidth="1"/>
    <col min="7" max="7" width="15" style="90" customWidth="1"/>
    <col min="8" max="8" width="14" style="90" customWidth="1"/>
    <col min="9" max="9" width="9.5546875" style="90" customWidth="1"/>
    <col min="10" max="10" width="11.5546875" style="90" customWidth="1"/>
    <col min="11" max="11" width="8.88671875" style="90" customWidth="1"/>
    <col min="12" max="12" width="12.5546875" style="90" customWidth="1"/>
    <col min="13" max="13" width="5.33203125" style="90" customWidth="1"/>
    <col min="14" max="14" width="19.109375" style="90" customWidth="1"/>
    <col min="15" max="15" width="13.5546875" style="90" customWidth="1"/>
    <col min="16" max="16384" width="1.109375" style="90"/>
  </cols>
  <sheetData>
    <row r="1" spans="1:14" s="60" customFormat="1" x14ac:dyDescent="0.25">
      <c r="N1" s="61" t="s">
        <v>48</v>
      </c>
    </row>
    <row r="2" spans="1:14" s="60" customFormat="1" x14ac:dyDescent="0.25">
      <c r="N2" s="61" t="s">
        <v>49</v>
      </c>
    </row>
    <row r="3" spans="1:14" s="60" customFormat="1" ht="10.199999999999999" x14ac:dyDescent="0.25">
      <c r="N3" s="62"/>
    </row>
    <row r="4" spans="1:14" s="63" customFormat="1" ht="10.199999999999999" x14ac:dyDescent="0.25">
      <c r="N4" s="62"/>
    </row>
    <row r="5" spans="1:14" s="64" customFormat="1" ht="10.5" customHeight="1" x14ac:dyDescent="0.25">
      <c r="N5" s="62"/>
    </row>
    <row r="6" spans="1:14" s="64" customFormat="1" ht="10.5" customHeight="1" x14ac:dyDescent="0.25">
      <c r="N6" s="62"/>
    </row>
    <row r="7" spans="1:14" s="64" customFormat="1" ht="12" customHeight="1" x14ac:dyDescent="0.25">
      <c r="N7" s="62"/>
    </row>
    <row r="8" spans="1:14" s="64" customFormat="1" ht="12.75" customHeight="1" x14ac:dyDescent="0.25">
      <c r="N8" s="62"/>
    </row>
    <row r="10" spans="1:14" s="65" customFormat="1" x14ac:dyDescent="0.3">
      <c r="A10" s="242" t="s">
        <v>50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</row>
    <row r="11" spans="1:14" s="67" customFormat="1" ht="7.8" x14ac:dyDescent="0.15">
      <c r="A11" s="68"/>
      <c r="B11" s="68"/>
      <c r="C11" s="68"/>
      <c r="D11" s="68"/>
      <c r="E11" s="68"/>
      <c r="F11" s="68"/>
      <c r="G11" s="68"/>
      <c r="H11" s="68"/>
    </row>
    <row r="12" spans="1:14" s="67" customFormat="1" ht="17.25" customHeight="1" x14ac:dyDescent="0.3">
      <c r="A12" s="65" t="s">
        <v>51</v>
      </c>
      <c r="B12" s="68"/>
      <c r="C12" s="68"/>
      <c r="D12" s="68"/>
      <c r="E12" s="68"/>
      <c r="F12" s="69" t="s">
        <v>52</v>
      </c>
      <c r="G12" s="243" t="s">
        <v>53</v>
      </c>
      <c r="H12" s="243"/>
      <c r="I12" s="243"/>
      <c r="J12" s="243"/>
      <c r="K12" s="243"/>
      <c r="L12" s="243"/>
      <c r="M12" s="243"/>
      <c r="N12" s="243"/>
    </row>
    <row r="13" spans="1:14" s="67" customFormat="1" ht="15.75" customHeight="1" x14ac:dyDescent="0.15">
      <c r="A13" s="68"/>
      <c r="B13" s="68"/>
      <c r="C13" s="68"/>
      <c r="D13" s="68"/>
      <c r="E13" s="68"/>
      <c r="F13" s="68"/>
      <c r="G13" s="68"/>
      <c r="H13" s="68"/>
    </row>
    <row r="14" spans="1:14" s="65" customFormat="1" x14ac:dyDescent="0.3">
      <c r="A14" s="70" t="s">
        <v>54</v>
      </c>
      <c r="B14" s="70"/>
      <c r="C14" s="70"/>
      <c r="D14" s="70"/>
      <c r="E14" s="70"/>
      <c r="F14" s="70"/>
      <c r="G14" s="70"/>
      <c r="H14" s="70"/>
    </row>
    <row r="15" spans="1:14" s="71" customFormat="1" ht="13.2" x14ac:dyDescent="0.25"/>
    <row r="16" spans="1:14" x14ac:dyDescent="0.3">
      <c r="A16" s="70" t="s">
        <v>55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s="71" customFormat="1" ht="13.2" x14ac:dyDescent="0.25"/>
    <row r="18" spans="1:14" s="71" customFormat="1" ht="12.75" customHeight="1" x14ac:dyDescent="0.25">
      <c r="A18" s="232" t="s">
        <v>56</v>
      </c>
      <c r="B18" s="233" t="s">
        <v>57</v>
      </c>
      <c r="C18" s="232" t="s">
        <v>58</v>
      </c>
      <c r="D18" s="236" t="s">
        <v>59</v>
      </c>
      <c r="E18" s="236"/>
      <c r="F18" s="236"/>
      <c r="G18" s="236"/>
      <c r="H18" s="232" t="s">
        <v>60</v>
      </c>
      <c r="I18" s="236" t="s">
        <v>61</v>
      </c>
      <c r="J18" s="236"/>
      <c r="K18" s="236"/>
      <c r="L18" s="236"/>
      <c r="M18" s="236"/>
      <c r="N18" s="236"/>
    </row>
    <row r="19" spans="1:14" s="71" customFormat="1" ht="76.5" customHeight="1" x14ac:dyDescent="0.25">
      <c r="A19" s="232"/>
      <c r="B19" s="233"/>
      <c r="C19" s="232"/>
      <c r="D19" s="232" t="s">
        <v>62</v>
      </c>
      <c r="E19" s="232" t="s">
        <v>63</v>
      </c>
      <c r="F19" s="232" t="s">
        <v>64</v>
      </c>
      <c r="G19" s="232" t="s">
        <v>65</v>
      </c>
      <c r="H19" s="232"/>
      <c r="I19" s="232" t="s">
        <v>66</v>
      </c>
      <c r="J19" s="232"/>
      <c r="K19" s="239" t="s">
        <v>67</v>
      </c>
      <c r="L19" s="240"/>
      <c r="M19" s="241"/>
      <c r="N19" s="231" t="s">
        <v>68</v>
      </c>
    </row>
    <row r="20" spans="1:14" s="71" customFormat="1" ht="39" customHeight="1" x14ac:dyDescent="0.25">
      <c r="A20" s="232"/>
      <c r="B20" s="233"/>
      <c r="C20" s="232"/>
      <c r="D20" s="232"/>
      <c r="E20" s="232"/>
      <c r="F20" s="232"/>
      <c r="G20" s="232"/>
      <c r="H20" s="232"/>
      <c r="I20" s="72" t="s">
        <v>69</v>
      </c>
      <c r="J20" s="72" t="s">
        <v>70</v>
      </c>
      <c r="K20" s="72" t="s">
        <v>71</v>
      </c>
      <c r="L20" s="72" t="s">
        <v>69</v>
      </c>
      <c r="M20" s="72" t="s">
        <v>70</v>
      </c>
      <c r="N20" s="231"/>
    </row>
    <row r="21" spans="1:14" s="71" customFormat="1" ht="13.2" x14ac:dyDescent="0.25">
      <c r="A21" s="75">
        <v>1</v>
      </c>
      <c r="B21" s="75">
        <v>2</v>
      </c>
      <c r="C21" s="75">
        <v>3</v>
      </c>
      <c r="D21" s="75" t="s">
        <v>72</v>
      </c>
      <c r="E21" s="75">
        <v>5</v>
      </c>
      <c r="F21" s="75">
        <v>6</v>
      </c>
      <c r="G21" s="75">
        <v>7</v>
      </c>
      <c r="H21" s="75" t="s">
        <v>73</v>
      </c>
      <c r="I21" s="73">
        <v>9</v>
      </c>
      <c r="J21" s="73">
        <v>10</v>
      </c>
      <c r="K21" s="73">
        <v>11</v>
      </c>
      <c r="L21" s="73">
        <v>12</v>
      </c>
      <c r="M21" s="73">
        <v>13</v>
      </c>
      <c r="N21" s="73">
        <v>14</v>
      </c>
    </row>
    <row r="22" spans="1:14" s="71" customFormat="1" ht="13.8" x14ac:dyDescent="0.25">
      <c r="A22" s="75">
        <v>1</v>
      </c>
      <c r="B22" s="76" t="s">
        <v>74</v>
      </c>
      <c r="C22" s="77">
        <v>1</v>
      </c>
      <c r="D22" s="78">
        <f>E22+F22+G22</f>
        <v>62173.748</v>
      </c>
      <c r="E22" s="78">
        <v>47825.96</v>
      </c>
      <c r="F22" s="75"/>
      <c r="G22" s="79">
        <f>E22*30%</f>
        <v>14347.787999999999</v>
      </c>
      <c r="H22" s="79">
        <f>D22*C22*12</f>
        <v>746084.97600000002</v>
      </c>
      <c r="I22" s="73"/>
      <c r="J22" s="73">
        <f>H22</f>
        <v>746084.97600000002</v>
      </c>
      <c r="K22" s="73"/>
      <c r="L22" s="73"/>
      <c r="M22" s="73"/>
      <c r="N22" s="73"/>
    </row>
    <row r="23" spans="1:14" s="71" customFormat="1" ht="64.5" customHeight="1" x14ac:dyDescent="0.25">
      <c r="A23" s="75">
        <v>2</v>
      </c>
      <c r="B23" s="80" t="s">
        <v>75</v>
      </c>
      <c r="C23" s="77">
        <v>1</v>
      </c>
      <c r="D23" s="78">
        <f t="shared" ref="D23:D57" si="0">E23+F23+G23</f>
        <v>55956.373200000002</v>
      </c>
      <c r="E23" s="78">
        <f>E22*0.9</f>
        <v>43043.364000000001</v>
      </c>
      <c r="F23" s="75"/>
      <c r="G23" s="79">
        <f t="shared" ref="G23:G57" si="1">JA23*30%</f>
        <v>12913.0092</v>
      </c>
      <c r="H23" s="79">
        <f t="shared" ref="H23:H57" si="2">IZ23*IY23*12</f>
        <v>671476.47840000002</v>
      </c>
      <c r="I23" s="81"/>
      <c r="J23" s="73">
        <f t="shared" ref="J23:J57" si="3">JD23</f>
        <v>671476.47840000002</v>
      </c>
      <c r="K23" s="73"/>
      <c r="L23" s="73"/>
      <c r="M23" s="73"/>
      <c r="N23" s="73"/>
    </row>
    <row r="24" spans="1:14" s="71" customFormat="1" ht="54.75" customHeight="1" x14ac:dyDescent="0.25">
      <c r="A24" s="75">
        <v>3</v>
      </c>
      <c r="B24" s="80" t="s">
        <v>76</v>
      </c>
      <c r="C24" s="77">
        <v>1</v>
      </c>
      <c r="D24" s="78">
        <f t="shared" si="0"/>
        <v>55956.373200000002</v>
      </c>
      <c r="E24" s="78">
        <f>E22*0.9</f>
        <v>43043.364000000001</v>
      </c>
      <c r="F24" s="75"/>
      <c r="G24" s="79">
        <f t="shared" si="1"/>
        <v>12913.0092</v>
      </c>
      <c r="H24" s="79">
        <f t="shared" si="2"/>
        <v>671476.47840000002</v>
      </c>
      <c r="I24" s="81"/>
      <c r="J24" s="73">
        <f t="shared" si="3"/>
        <v>671476.47840000002</v>
      </c>
      <c r="K24" s="73"/>
      <c r="L24" s="73"/>
      <c r="M24" s="73"/>
      <c r="N24" s="73"/>
    </row>
    <row r="25" spans="1:14" s="71" customFormat="1" ht="54" customHeight="1" x14ac:dyDescent="0.25">
      <c r="A25" s="75">
        <v>4</v>
      </c>
      <c r="B25" s="80" t="s">
        <v>77</v>
      </c>
      <c r="C25" s="77">
        <v>1</v>
      </c>
      <c r="D25" s="78">
        <f t="shared" si="0"/>
        <v>55956.373200000002</v>
      </c>
      <c r="E25" s="78">
        <f>E22*0.9</f>
        <v>43043.364000000001</v>
      </c>
      <c r="F25" s="75"/>
      <c r="G25" s="79">
        <f t="shared" si="1"/>
        <v>12913.0092</v>
      </c>
      <c r="H25" s="79">
        <f t="shared" si="2"/>
        <v>671476.47840000002</v>
      </c>
      <c r="I25" s="81"/>
      <c r="J25" s="73">
        <f t="shared" si="3"/>
        <v>671476.47840000002</v>
      </c>
      <c r="K25" s="73"/>
      <c r="L25" s="73"/>
      <c r="M25" s="73"/>
      <c r="N25" s="73"/>
    </row>
    <row r="26" spans="1:14" s="71" customFormat="1" ht="28.5" customHeight="1" x14ac:dyDescent="0.25">
      <c r="A26" s="75">
        <v>5</v>
      </c>
      <c r="B26" s="80" t="s">
        <v>78</v>
      </c>
      <c r="C26" s="77">
        <v>5</v>
      </c>
      <c r="D26" s="78">
        <f t="shared" si="0"/>
        <v>26490.1</v>
      </c>
      <c r="E26" s="78">
        <v>20377</v>
      </c>
      <c r="F26" s="75"/>
      <c r="G26" s="79">
        <f t="shared" si="1"/>
        <v>6113.0999999999995</v>
      </c>
      <c r="H26" s="79">
        <f t="shared" si="2"/>
        <v>1589406</v>
      </c>
      <c r="I26" s="81"/>
      <c r="J26" s="73">
        <f t="shared" si="3"/>
        <v>1589406</v>
      </c>
      <c r="K26" s="73"/>
      <c r="L26" s="73"/>
      <c r="M26" s="73"/>
      <c r="N26" s="73"/>
    </row>
    <row r="27" spans="1:14" s="71" customFormat="1" ht="27" customHeight="1" x14ac:dyDescent="0.25">
      <c r="A27" s="75">
        <v>6</v>
      </c>
      <c r="B27" s="80" t="s">
        <v>79</v>
      </c>
      <c r="C27" s="77">
        <v>1</v>
      </c>
      <c r="D27" s="78">
        <f t="shared" si="0"/>
        <v>23938.004999999997</v>
      </c>
      <c r="E27" s="78">
        <v>18413.849999999999</v>
      </c>
      <c r="F27" s="75"/>
      <c r="G27" s="79">
        <f t="shared" si="1"/>
        <v>5524.1549999999997</v>
      </c>
      <c r="H27" s="79">
        <f t="shared" si="2"/>
        <v>287256.05999999994</v>
      </c>
      <c r="I27" s="73"/>
      <c r="J27" s="73">
        <f t="shared" si="3"/>
        <v>287256.05999999994</v>
      </c>
      <c r="K27" s="73"/>
      <c r="L27" s="73"/>
      <c r="M27" s="73"/>
      <c r="N27" s="73"/>
    </row>
    <row r="28" spans="1:14" s="71" customFormat="1" ht="18" customHeight="1" x14ac:dyDescent="0.25">
      <c r="A28" s="75">
        <v>7</v>
      </c>
      <c r="B28" s="80" t="s">
        <v>80</v>
      </c>
      <c r="C28" s="77">
        <v>7.5</v>
      </c>
      <c r="D28" s="78">
        <f t="shared" si="0"/>
        <v>24551.8</v>
      </c>
      <c r="E28" s="78">
        <v>18886</v>
      </c>
      <c r="F28" s="79"/>
      <c r="G28" s="79">
        <f t="shared" si="1"/>
        <v>5665.8</v>
      </c>
      <c r="H28" s="79">
        <f t="shared" si="2"/>
        <v>2209662</v>
      </c>
      <c r="I28" s="81"/>
      <c r="J28" s="73">
        <f t="shared" si="3"/>
        <v>2209662</v>
      </c>
      <c r="K28" s="73"/>
      <c r="L28" s="73"/>
      <c r="M28" s="73"/>
      <c r="N28" s="73"/>
    </row>
    <row r="29" spans="1:14" s="71" customFormat="1" ht="27" customHeight="1" x14ac:dyDescent="0.25">
      <c r="A29" s="75">
        <v>8</v>
      </c>
      <c r="B29" s="80" t="s">
        <v>81</v>
      </c>
      <c r="C29" s="77">
        <v>3</v>
      </c>
      <c r="D29" s="78">
        <f t="shared" si="0"/>
        <v>19383</v>
      </c>
      <c r="E29" s="78">
        <v>14910</v>
      </c>
      <c r="F29" s="79"/>
      <c r="G29" s="79">
        <f t="shared" si="1"/>
        <v>4473</v>
      </c>
      <c r="H29" s="79">
        <f t="shared" si="2"/>
        <v>697788</v>
      </c>
      <c r="I29" s="73"/>
      <c r="J29" s="73">
        <f t="shared" si="3"/>
        <v>697788</v>
      </c>
      <c r="K29" s="73"/>
      <c r="L29" s="73"/>
      <c r="M29" s="73"/>
      <c r="N29" s="73"/>
    </row>
    <row r="30" spans="1:14" s="71" customFormat="1" ht="24.75" customHeight="1" x14ac:dyDescent="0.25">
      <c r="A30" s="75">
        <v>9</v>
      </c>
      <c r="B30" s="80" t="s">
        <v>81</v>
      </c>
      <c r="C30" s="77">
        <v>2</v>
      </c>
      <c r="D30" s="78">
        <f t="shared" si="0"/>
        <v>23259.599999999999</v>
      </c>
      <c r="E30" s="78">
        <v>17892</v>
      </c>
      <c r="F30" s="75"/>
      <c r="G30" s="79">
        <f t="shared" si="1"/>
        <v>5367.5999999999995</v>
      </c>
      <c r="H30" s="79">
        <f t="shared" si="2"/>
        <v>558230.39999999991</v>
      </c>
      <c r="I30" s="73"/>
      <c r="J30" s="73">
        <f t="shared" si="3"/>
        <v>558230.39999999991</v>
      </c>
      <c r="K30" s="73"/>
      <c r="L30" s="73"/>
      <c r="M30" s="73"/>
      <c r="N30" s="73"/>
    </row>
    <row r="31" spans="1:14" s="71" customFormat="1" ht="42.6" customHeight="1" x14ac:dyDescent="0.25">
      <c r="A31" s="75">
        <v>10</v>
      </c>
      <c r="B31" s="80" t="s">
        <v>82</v>
      </c>
      <c r="C31" s="77">
        <f>13.61+0.39</f>
        <v>14</v>
      </c>
      <c r="D31" s="78">
        <f t="shared" si="0"/>
        <v>27091.78</v>
      </c>
      <c r="E31" s="78">
        <v>14910</v>
      </c>
      <c r="F31" s="75">
        <v>7708.78</v>
      </c>
      <c r="G31" s="79">
        <f>E31*30%</f>
        <v>4473</v>
      </c>
      <c r="H31" s="79">
        <f t="shared" si="2"/>
        <v>4551419.04</v>
      </c>
      <c r="I31" s="73"/>
      <c r="J31" s="73">
        <f t="shared" si="3"/>
        <v>4551419.04</v>
      </c>
      <c r="K31" s="73"/>
      <c r="L31" s="73"/>
      <c r="M31" s="73"/>
      <c r="N31" s="73"/>
    </row>
    <row r="32" spans="1:14" s="71" customFormat="1" ht="39.6" customHeight="1" x14ac:dyDescent="0.25">
      <c r="A32" s="75">
        <v>11</v>
      </c>
      <c r="B32" s="80" t="s">
        <v>82</v>
      </c>
      <c r="C32" s="77">
        <f>60.24-0.39</f>
        <v>59.85</v>
      </c>
      <c r="D32" s="78">
        <f t="shared" si="0"/>
        <v>30968.379999999997</v>
      </c>
      <c r="E32" s="78">
        <v>17892</v>
      </c>
      <c r="F32" s="75">
        <v>7708.78</v>
      </c>
      <c r="G32" s="79">
        <f>E32*30%</f>
        <v>5367.5999999999995</v>
      </c>
      <c r="H32" s="79">
        <f t="shared" si="2"/>
        <v>22241490.515999999</v>
      </c>
      <c r="I32" s="73"/>
      <c r="J32" s="73">
        <f t="shared" si="3"/>
        <v>22241490.515999999</v>
      </c>
      <c r="K32" s="73"/>
      <c r="L32" s="73"/>
      <c r="M32" s="73"/>
      <c r="N32" s="73"/>
    </row>
    <row r="33" spans="1:14" s="71" customFormat="1" ht="27" customHeight="1" x14ac:dyDescent="0.25">
      <c r="A33" s="75">
        <v>12</v>
      </c>
      <c r="B33" s="80" t="s">
        <v>83</v>
      </c>
      <c r="C33" s="77">
        <v>4</v>
      </c>
      <c r="D33" s="78">
        <f t="shared" si="0"/>
        <v>22666.474999999999</v>
      </c>
      <c r="E33" s="78">
        <v>17435.75</v>
      </c>
      <c r="F33" s="75"/>
      <c r="G33" s="79">
        <f t="shared" si="1"/>
        <v>5230.7249999999995</v>
      </c>
      <c r="H33" s="79">
        <f t="shared" si="2"/>
        <v>1087990.7999999998</v>
      </c>
      <c r="I33" s="73"/>
      <c r="J33" s="73">
        <f t="shared" si="3"/>
        <v>1087990.7999999998</v>
      </c>
      <c r="K33" s="73"/>
      <c r="L33" s="73"/>
      <c r="M33" s="73"/>
      <c r="N33" s="73"/>
    </row>
    <row r="34" spans="1:14" s="71" customFormat="1" ht="15" customHeight="1" x14ac:dyDescent="0.25">
      <c r="A34" s="75">
        <v>13</v>
      </c>
      <c r="B34" s="80" t="s">
        <v>84</v>
      </c>
      <c r="C34" s="77">
        <v>1</v>
      </c>
      <c r="D34" s="78">
        <f>E34+F34+G34</f>
        <v>49738.998400000004</v>
      </c>
      <c r="E34" s="78">
        <f>E22*0.8</f>
        <v>38260.768000000004</v>
      </c>
      <c r="F34" s="75"/>
      <c r="G34" s="79">
        <f t="shared" si="1"/>
        <v>11478.2304</v>
      </c>
      <c r="H34" s="79">
        <f t="shared" si="2"/>
        <v>596867.98080000002</v>
      </c>
      <c r="I34" s="81"/>
      <c r="J34" s="73">
        <f t="shared" si="3"/>
        <v>596867.98080000002</v>
      </c>
      <c r="K34" s="73"/>
      <c r="L34" s="73"/>
      <c r="M34" s="73"/>
      <c r="N34" s="73"/>
    </row>
    <row r="35" spans="1:14" s="71" customFormat="1" ht="13.8" x14ac:dyDescent="0.25">
      <c r="A35" s="75">
        <v>14</v>
      </c>
      <c r="B35" s="80" t="s">
        <v>85</v>
      </c>
      <c r="C35" s="77">
        <v>1</v>
      </c>
      <c r="D35" s="78">
        <f t="shared" si="0"/>
        <v>19488.963</v>
      </c>
      <c r="E35" s="78">
        <v>14991.51</v>
      </c>
      <c r="F35" s="75"/>
      <c r="G35" s="79">
        <f t="shared" si="1"/>
        <v>4497.4529999999995</v>
      </c>
      <c r="H35" s="79">
        <f t="shared" si="2"/>
        <v>233867.55599999998</v>
      </c>
      <c r="I35" s="81"/>
      <c r="J35" s="73">
        <f t="shared" si="3"/>
        <v>233867.55599999998</v>
      </c>
      <c r="K35" s="73"/>
      <c r="L35" s="73"/>
      <c r="M35" s="73"/>
      <c r="N35" s="73"/>
    </row>
    <row r="36" spans="1:14" s="71" customFormat="1" ht="13.8" x14ac:dyDescent="0.25">
      <c r="A36" s="75">
        <v>15</v>
      </c>
      <c r="B36" s="80" t="s">
        <v>86</v>
      </c>
      <c r="C36" s="77">
        <v>0.5</v>
      </c>
      <c r="D36" s="78">
        <f t="shared" si="0"/>
        <v>19488.963</v>
      </c>
      <c r="E36" s="78">
        <v>14991.51</v>
      </c>
      <c r="F36" s="79"/>
      <c r="G36" s="79">
        <f t="shared" si="1"/>
        <v>4497.4529999999995</v>
      </c>
      <c r="H36" s="79">
        <f t="shared" si="2"/>
        <v>116933.77799999999</v>
      </c>
      <c r="I36" s="81"/>
      <c r="J36" s="73">
        <f t="shared" si="3"/>
        <v>116933.77799999999</v>
      </c>
      <c r="K36" s="73"/>
      <c r="L36" s="73"/>
      <c r="M36" s="73"/>
      <c r="N36" s="73"/>
    </row>
    <row r="37" spans="1:14" s="71" customFormat="1" ht="27" customHeight="1" x14ac:dyDescent="0.25">
      <c r="A37" s="75">
        <v>16</v>
      </c>
      <c r="B37" s="80" t="s">
        <v>87</v>
      </c>
      <c r="C37" s="77">
        <v>1</v>
      </c>
      <c r="D37" s="78">
        <f t="shared" si="0"/>
        <v>19488.963</v>
      </c>
      <c r="E37" s="78">
        <v>14991.51</v>
      </c>
      <c r="F37" s="75"/>
      <c r="G37" s="79">
        <f t="shared" si="1"/>
        <v>4497.4529999999995</v>
      </c>
      <c r="H37" s="79">
        <f t="shared" si="2"/>
        <v>233867.55599999998</v>
      </c>
      <c r="I37" s="73"/>
      <c r="J37" s="73">
        <f t="shared" si="3"/>
        <v>233867.55599999998</v>
      </c>
      <c r="K37" s="73"/>
      <c r="L37" s="73"/>
      <c r="M37" s="73"/>
      <c r="N37" s="73"/>
    </row>
    <row r="38" spans="1:14" s="71" customFormat="1" ht="13.8" x14ac:dyDescent="0.25">
      <c r="A38" s="75">
        <v>17</v>
      </c>
      <c r="B38" s="80" t="s">
        <v>88</v>
      </c>
      <c r="C38" s="77">
        <v>1</v>
      </c>
      <c r="D38" s="78">
        <f t="shared" si="0"/>
        <v>19488.963</v>
      </c>
      <c r="E38" s="78">
        <v>14991.51</v>
      </c>
      <c r="F38" s="82"/>
      <c r="G38" s="79">
        <f t="shared" si="1"/>
        <v>4497.4529999999995</v>
      </c>
      <c r="H38" s="79">
        <f t="shared" si="2"/>
        <v>233867.55599999998</v>
      </c>
      <c r="I38" s="83"/>
      <c r="J38" s="73">
        <f t="shared" si="3"/>
        <v>233867.55599999998</v>
      </c>
      <c r="K38" s="83"/>
      <c r="L38" s="83"/>
      <c r="M38" s="83"/>
      <c r="N38" s="83"/>
    </row>
    <row r="39" spans="1:14" s="71" customFormat="1" ht="13.8" x14ac:dyDescent="0.25">
      <c r="A39" s="75">
        <v>18</v>
      </c>
      <c r="B39" s="80" t="s">
        <v>89</v>
      </c>
      <c r="C39" s="77">
        <v>1.5</v>
      </c>
      <c r="D39" s="78">
        <f t="shared" si="0"/>
        <v>23938.004999999997</v>
      </c>
      <c r="E39" s="78">
        <v>18413.849999999999</v>
      </c>
      <c r="F39" s="82"/>
      <c r="G39" s="79">
        <f t="shared" si="1"/>
        <v>5524.1549999999997</v>
      </c>
      <c r="H39" s="79">
        <f t="shared" si="2"/>
        <v>430884.08999999991</v>
      </c>
      <c r="I39" s="83"/>
      <c r="J39" s="73">
        <f t="shared" si="3"/>
        <v>430884.08999999991</v>
      </c>
      <c r="K39" s="83"/>
      <c r="L39" s="83"/>
      <c r="M39" s="83"/>
      <c r="N39" s="83"/>
    </row>
    <row r="40" spans="1:14" s="71" customFormat="1" ht="13.8" x14ac:dyDescent="0.25">
      <c r="A40" s="75">
        <v>19</v>
      </c>
      <c r="B40" s="80" t="s">
        <v>90</v>
      </c>
      <c r="C40" s="77">
        <v>1.5</v>
      </c>
      <c r="D40" s="78">
        <f t="shared" si="0"/>
        <v>22666.474999999999</v>
      </c>
      <c r="E40" s="78">
        <v>17435.75</v>
      </c>
      <c r="F40" s="82"/>
      <c r="G40" s="79">
        <f t="shared" si="1"/>
        <v>5230.7249999999995</v>
      </c>
      <c r="H40" s="79">
        <f t="shared" si="2"/>
        <v>407996.54999999993</v>
      </c>
      <c r="I40" s="83"/>
      <c r="J40" s="73">
        <f t="shared" si="3"/>
        <v>407996.54999999993</v>
      </c>
      <c r="K40" s="83"/>
      <c r="L40" s="83"/>
      <c r="M40" s="83"/>
      <c r="N40" s="83"/>
    </row>
    <row r="41" spans="1:14" s="71" customFormat="1" ht="13.8" x14ac:dyDescent="0.25">
      <c r="A41" s="75">
        <v>20</v>
      </c>
      <c r="B41" s="80" t="s">
        <v>91</v>
      </c>
      <c r="C41" s="77">
        <v>1.5</v>
      </c>
      <c r="D41" s="78">
        <f t="shared" si="0"/>
        <v>23938.004999999997</v>
      </c>
      <c r="E41" s="78">
        <v>18413.849999999999</v>
      </c>
      <c r="F41" s="82"/>
      <c r="G41" s="79">
        <f t="shared" si="1"/>
        <v>5524.1549999999997</v>
      </c>
      <c r="H41" s="79">
        <f t="shared" si="2"/>
        <v>430884.08999999991</v>
      </c>
      <c r="I41" s="83"/>
      <c r="J41" s="73">
        <f t="shared" si="3"/>
        <v>430884.08999999991</v>
      </c>
      <c r="K41" s="83"/>
      <c r="L41" s="83"/>
      <c r="M41" s="83"/>
      <c r="N41" s="83"/>
    </row>
    <row r="42" spans="1:14" s="71" customFormat="1" ht="15" customHeight="1" x14ac:dyDescent="0.25">
      <c r="A42" s="75">
        <v>21</v>
      </c>
      <c r="B42" s="80" t="s">
        <v>92</v>
      </c>
      <c r="C42" s="77">
        <v>1</v>
      </c>
      <c r="D42" s="78">
        <f t="shared" si="0"/>
        <v>22666.474999999999</v>
      </c>
      <c r="E42" s="78">
        <v>17435.75</v>
      </c>
      <c r="F42" s="82"/>
      <c r="G42" s="79">
        <f t="shared" si="1"/>
        <v>5230.7249999999995</v>
      </c>
      <c r="H42" s="79">
        <f t="shared" si="2"/>
        <v>271997.69999999995</v>
      </c>
      <c r="I42" s="83"/>
      <c r="J42" s="73">
        <f t="shared" si="3"/>
        <v>271997.69999999995</v>
      </c>
      <c r="K42" s="83"/>
      <c r="L42" s="83"/>
      <c r="M42" s="83"/>
      <c r="N42" s="83"/>
    </row>
    <row r="43" spans="1:14" s="71" customFormat="1" ht="27" customHeight="1" x14ac:dyDescent="0.25">
      <c r="A43" s="75">
        <v>22</v>
      </c>
      <c r="B43" s="80" t="s">
        <v>93</v>
      </c>
      <c r="C43" s="77">
        <v>1</v>
      </c>
      <c r="D43" s="78">
        <f t="shared" si="0"/>
        <v>22666.474999999999</v>
      </c>
      <c r="E43" s="78">
        <v>17435.75</v>
      </c>
      <c r="F43" s="82"/>
      <c r="G43" s="79">
        <f t="shared" si="1"/>
        <v>5230.7249999999995</v>
      </c>
      <c r="H43" s="79">
        <f t="shared" si="2"/>
        <v>271997.69999999995</v>
      </c>
      <c r="I43" s="83"/>
      <c r="J43" s="73">
        <f t="shared" si="3"/>
        <v>271997.69999999995</v>
      </c>
      <c r="K43" s="83"/>
      <c r="L43" s="83"/>
      <c r="M43" s="83"/>
      <c r="N43" s="83"/>
    </row>
    <row r="44" spans="1:14" s="71" customFormat="1" ht="13.8" x14ac:dyDescent="0.25">
      <c r="A44" s="75">
        <v>23</v>
      </c>
      <c r="B44" s="80" t="s">
        <v>94</v>
      </c>
      <c r="C44" s="77">
        <v>3</v>
      </c>
      <c r="D44" s="78">
        <f t="shared" si="0"/>
        <v>13557.764999999999</v>
      </c>
      <c r="E44" s="78">
        <v>10429.049999999999</v>
      </c>
      <c r="F44" s="82"/>
      <c r="G44" s="79">
        <f t="shared" si="1"/>
        <v>3128.7149999999997</v>
      </c>
      <c r="H44" s="79">
        <f t="shared" si="2"/>
        <v>488079.54</v>
      </c>
      <c r="I44" s="83"/>
      <c r="J44" s="73">
        <f t="shared" si="3"/>
        <v>488079.54</v>
      </c>
      <c r="K44" s="83"/>
      <c r="L44" s="83"/>
      <c r="M44" s="83"/>
      <c r="N44" s="83"/>
    </row>
    <row r="45" spans="1:14" s="71" customFormat="1" ht="15" customHeight="1" x14ac:dyDescent="0.25">
      <c r="A45" s="75">
        <v>24</v>
      </c>
      <c r="B45" s="80" t="s">
        <v>95</v>
      </c>
      <c r="C45" s="77">
        <v>1</v>
      </c>
      <c r="D45" s="78">
        <f t="shared" si="0"/>
        <v>13345.839</v>
      </c>
      <c r="E45" s="78">
        <v>10266.030000000001</v>
      </c>
      <c r="F45" s="82"/>
      <c r="G45" s="79">
        <f t="shared" si="1"/>
        <v>3079.8090000000002</v>
      </c>
      <c r="H45" s="79">
        <f t="shared" si="2"/>
        <v>160150.068</v>
      </c>
      <c r="I45" s="83"/>
      <c r="J45" s="73">
        <f t="shared" si="3"/>
        <v>160150.068</v>
      </c>
      <c r="K45" s="83"/>
      <c r="L45" s="83"/>
      <c r="M45" s="83"/>
      <c r="N45" s="83"/>
    </row>
    <row r="46" spans="1:14" s="71" customFormat="1" ht="15" customHeight="1" x14ac:dyDescent="0.25">
      <c r="A46" s="75">
        <v>25</v>
      </c>
      <c r="B46" s="80" t="s">
        <v>96</v>
      </c>
      <c r="C46" s="77">
        <v>1</v>
      </c>
      <c r="D46" s="78">
        <f t="shared" si="0"/>
        <v>14362.803</v>
      </c>
      <c r="E46" s="78">
        <v>11048.31</v>
      </c>
      <c r="F46" s="82"/>
      <c r="G46" s="79">
        <f t="shared" si="1"/>
        <v>3314.4929999999999</v>
      </c>
      <c r="H46" s="79">
        <f t="shared" si="2"/>
        <v>172353.636</v>
      </c>
      <c r="I46" s="83"/>
      <c r="J46" s="73">
        <f t="shared" si="3"/>
        <v>172353.636</v>
      </c>
      <c r="K46" s="83"/>
      <c r="L46" s="83"/>
      <c r="M46" s="83"/>
      <c r="N46" s="83"/>
    </row>
    <row r="47" spans="1:14" s="71" customFormat="1" ht="15" customHeight="1" x14ac:dyDescent="0.25">
      <c r="A47" s="75">
        <v>26</v>
      </c>
      <c r="B47" s="80" t="s">
        <v>97</v>
      </c>
      <c r="C47" s="77">
        <v>1</v>
      </c>
      <c r="D47" s="78">
        <f t="shared" si="0"/>
        <v>13557.764999999999</v>
      </c>
      <c r="E47" s="78">
        <v>10429.049999999999</v>
      </c>
      <c r="F47" s="82"/>
      <c r="G47" s="79">
        <f t="shared" si="1"/>
        <v>3128.7149999999997</v>
      </c>
      <c r="H47" s="79">
        <f t="shared" si="2"/>
        <v>162693.18</v>
      </c>
      <c r="I47" s="83"/>
      <c r="J47" s="73">
        <f t="shared" si="3"/>
        <v>162693.18</v>
      </c>
      <c r="K47" s="83"/>
      <c r="L47" s="83"/>
      <c r="M47" s="83"/>
      <c r="N47" s="83"/>
    </row>
    <row r="48" spans="1:14" s="71" customFormat="1" ht="15" customHeight="1" x14ac:dyDescent="0.25">
      <c r="A48" s="75">
        <v>27</v>
      </c>
      <c r="B48" s="80" t="s">
        <v>98</v>
      </c>
      <c r="C48" s="77">
        <v>1</v>
      </c>
      <c r="D48" s="78">
        <f t="shared" si="0"/>
        <v>13557.764999999999</v>
      </c>
      <c r="E48" s="78">
        <v>10429.049999999999</v>
      </c>
      <c r="F48" s="82"/>
      <c r="G48" s="79">
        <f t="shared" si="1"/>
        <v>3128.7149999999997</v>
      </c>
      <c r="H48" s="79">
        <f t="shared" si="2"/>
        <v>162693.18</v>
      </c>
      <c r="I48" s="83"/>
      <c r="J48" s="73">
        <f t="shared" si="3"/>
        <v>162693.18</v>
      </c>
      <c r="K48" s="83"/>
      <c r="L48" s="83"/>
      <c r="M48" s="83"/>
      <c r="N48" s="83"/>
    </row>
    <row r="49" spans="1:14" s="71" customFormat="1" ht="15" customHeight="1" x14ac:dyDescent="0.25">
      <c r="A49" s="75">
        <v>28</v>
      </c>
      <c r="B49" s="80" t="s">
        <v>99</v>
      </c>
      <c r="C49" s="77">
        <v>1</v>
      </c>
      <c r="D49" s="78">
        <f t="shared" si="0"/>
        <v>13557.764999999999</v>
      </c>
      <c r="E49" s="78">
        <v>10429.049999999999</v>
      </c>
      <c r="F49" s="82"/>
      <c r="G49" s="79">
        <f t="shared" si="1"/>
        <v>3128.7149999999997</v>
      </c>
      <c r="H49" s="79">
        <f t="shared" si="2"/>
        <v>162693.18</v>
      </c>
      <c r="I49" s="83"/>
      <c r="J49" s="73">
        <f t="shared" si="3"/>
        <v>162693.18</v>
      </c>
      <c r="K49" s="83"/>
      <c r="L49" s="83"/>
      <c r="M49" s="83"/>
      <c r="N49" s="83"/>
    </row>
    <row r="50" spans="1:14" s="71" customFormat="1" ht="13.8" x14ac:dyDescent="0.25">
      <c r="A50" s="75">
        <v>29</v>
      </c>
      <c r="B50" s="80" t="s">
        <v>100</v>
      </c>
      <c r="C50" s="77">
        <v>1</v>
      </c>
      <c r="D50" s="78">
        <f t="shared" si="0"/>
        <v>14362.803</v>
      </c>
      <c r="E50" s="78">
        <v>11048.31</v>
      </c>
      <c r="F50" s="82"/>
      <c r="G50" s="79">
        <f t="shared" si="1"/>
        <v>3314.4929999999999</v>
      </c>
      <c r="H50" s="79">
        <f t="shared" si="2"/>
        <v>172353.636</v>
      </c>
      <c r="I50" s="83"/>
      <c r="J50" s="73">
        <f t="shared" si="3"/>
        <v>172353.636</v>
      </c>
      <c r="K50" s="83"/>
      <c r="L50" s="83"/>
      <c r="M50" s="83"/>
      <c r="N50" s="83"/>
    </row>
    <row r="51" spans="1:14" s="71" customFormat="1" ht="13.8" x14ac:dyDescent="0.25">
      <c r="A51" s="75">
        <v>30</v>
      </c>
      <c r="B51" s="80" t="s">
        <v>101</v>
      </c>
      <c r="C51" s="77">
        <v>1</v>
      </c>
      <c r="D51" s="78">
        <f t="shared" si="0"/>
        <v>14405.443000000001</v>
      </c>
      <c r="E51" s="78">
        <v>11081.11</v>
      </c>
      <c r="F51" s="82"/>
      <c r="G51" s="79">
        <f t="shared" si="1"/>
        <v>3324.3330000000001</v>
      </c>
      <c r="H51" s="79">
        <f t="shared" si="2"/>
        <v>172865.31600000002</v>
      </c>
      <c r="I51" s="83"/>
      <c r="J51" s="73">
        <f t="shared" si="3"/>
        <v>172865.31600000002</v>
      </c>
      <c r="K51" s="83"/>
      <c r="L51" s="83"/>
      <c r="M51" s="83"/>
      <c r="N51" s="83"/>
    </row>
    <row r="52" spans="1:14" s="71" customFormat="1" ht="25.5" customHeight="1" x14ac:dyDescent="0.25">
      <c r="A52" s="75">
        <v>31</v>
      </c>
      <c r="B52" s="80" t="s">
        <v>102</v>
      </c>
      <c r="C52" s="77">
        <v>2</v>
      </c>
      <c r="D52" s="78">
        <f t="shared" si="0"/>
        <v>13345.839</v>
      </c>
      <c r="E52" s="78">
        <v>10266.030000000001</v>
      </c>
      <c r="F52" s="82"/>
      <c r="G52" s="79">
        <f t="shared" si="1"/>
        <v>3079.8090000000002</v>
      </c>
      <c r="H52" s="79">
        <f t="shared" si="2"/>
        <v>320300.136</v>
      </c>
      <c r="I52" s="83"/>
      <c r="J52" s="73">
        <f t="shared" si="3"/>
        <v>320300.136</v>
      </c>
      <c r="K52" s="83"/>
      <c r="L52" s="83"/>
      <c r="M52" s="83"/>
      <c r="N52" s="83"/>
    </row>
    <row r="53" spans="1:14" s="71" customFormat="1" ht="13.8" x14ac:dyDescent="0.25">
      <c r="A53" s="75">
        <v>32</v>
      </c>
      <c r="B53" s="80" t="s">
        <v>103</v>
      </c>
      <c r="C53" s="77">
        <v>2</v>
      </c>
      <c r="D53" s="78">
        <f t="shared" si="0"/>
        <v>12922</v>
      </c>
      <c r="E53" s="78">
        <v>9940</v>
      </c>
      <c r="F53" s="82"/>
      <c r="G53" s="79">
        <f t="shared" si="1"/>
        <v>2982</v>
      </c>
      <c r="H53" s="79">
        <f t="shared" si="2"/>
        <v>310128</v>
      </c>
      <c r="I53" s="83"/>
      <c r="J53" s="73">
        <f t="shared" si="3"/>
        <v>310128</v>
      </c>
      <c r="K53" s="83"/>
      <c r="L53" s="83"/>
      <c r="M53" s="83"/>
      <c r="N53" s="83"/>
    </row>
    <row r="54" spans="1:14" s="71" customFormat="1" ht="13.8" x14ac:dyDescent="0.25">
      <c r="A54" s="75">
        <v>33</v>
      </c>
      <c r="B54" s="80" t="s">
        <v>104</v>
      </c>
      <c r="C54" s="77">
        <v>2.5</v>
      </c>
      <c r="D54" s="78">
        <f t="shared" si="0"/>
        <v>13133.925999999999</v>
      </c>
      <c r="E54" s="78">
        <v>10103.02</v>
      </c>
      <c r="F54" s="82"/>
      <c r="G54" s="79">
        <f t="shared" si="1"/>
        <v>3030.9059999999999</v>
      </c>
      <c r="H54" s="79">
        <f t="shared" si="2"/>
        <v>394017.78</v>
      </c>
      <c r="I54" s="83"/>
      <c r="J54" s="73">
        <f t="shared" si="3"/>
        <v>394017.78</v>
      </c>
      <c r="K54" s="83"/>
      <c r="L54" s="83"/>
      <c r="M54" s="83"/>
      <c r="N54" s="83"/>
    </row>
    <row r="55" spans="1:14" s="71" customFormat="1" ht="15" customHeight="1" x14ac:dyDescent="0.25">
      <c r="A55" s="75">
        <v>34</v>
      </c>
      <c r="B55" s="80" t="s">
        <v>105</v>
      </c>
      <c r="C55" s="77">
        <v>16</v>
      </c>
      <c r="D55" s="78">
        <f t="shared" si="0"/>
        <v>13133.925999999999</v>
      </c>
      <c r="E55" s="78">
        <v>10103.02</v>
      </c>
      <c r="F55" s="82"/>
      <c r="G55" s="79">
        <f t="shared" si="1"/>
        <v>3030.9059999999999</v>
      </c>
      <c r="H55" s="79">
        <f t="shared" si="2"/>
        <v>2521713.7919999999</v>
      </c>
      <c r="I55" s="83"/>
      <c r="J55" s="73">
        <f t="shared" si="3"/>
        <v>2521713.7919999999</v>
      </c>
      <c r="K55" s="83"/>
      <c r="L55" s="83"/>
      <c r="M55" s="83"/>
      <c r="N55" s="83"/>
    </row>
    <row r="56" spans="1:14" s="71" customFormat="1" ht="13.8" x14ac:dyDescent="0.25">
      <c r="A56" s="75">
        <v>35</v>
      </c>
      <c r="B56" s="80" t="s">
        <v>106</v>
      </c>
      <c r="C56" s="77">
        <v>3</v>
      </c>
      <c r="D56" s="78">
        <f t="shared" si="0"/>
        <v>12922</v>
      </c>
      <c r="E56" s="78">
        <v>9940</v>
      </c>
      <c r="F56" s="82"/>
      <c r="G56" s="79">
        <f t="shared" si="1"/>
        <v>2982</v>
      </c>
      <c r="H56" s="79">
        <f t="shared" si="2"/>
        <v>465192</v>
      </c>
      <c r="I56" s="83"/>
      <c r="J56" s="73">
        <f t="shared" si="3"/>
        <v>465192</v>
      </c>
      <c r="K56" s="83"/>
      <c r="L56" s="83"/>
      <c r="M56" s="83"/>
      <c r="N56" s="83"/>
    </row>
    <row r="57" spans="1:14" s="71" customFormat="1" ht="13.8" x14ac:dyDescent="0.25">
      <c r="A57" s="75">
        <v>36</v>
      </c>
      <c r="B57" s="80" t="s">
        <v>107</v>
      </c>
      <c r="C57" s="77">
        <v>2.5</v>
      </c>
      <c r="D57" s="78">
        <f t="shared" si="0"/>
        <v>13133.925999999999</v>
      </c>
      <c r="E57" s="78">
        <v>10103.02</v>
      </c>
      <c r="F57" s="82"/>
      <c r="G57" s="79">
        <f t="shared" si="1"/>
        <v>3030.9059999999999</v>
      </c>
      <c r="H57" s="79">
        <f t="shared" si="2"/>
        <v>394017.78</v>
      </c>
      <c r="I57" s="83"/>
      <c r="J57" s="73">
        <f t="shared" si="3"/>
        <v>394017.78</v>
      </c>
      <c r="K57" s="83"/>
      <c r="L57" s="83"/>
      <c r="M57" s="83"/>
      <c r="N57" s="83"/>
    </row>
    <row r="58" spans="1:14" s="71" customFormat="1" ht="13.2" x14ac:dyDescent="0.25">
      <c r="A58" s="244" t="s">
        <v>108</v>
      </c>
      <c r="B58" s="244"/>
      <c r="C58" s="73" t="s">
        <v>1</v>
      </c>
      <c r="D58" s="84">
        <f>SUM(D22:D57)</f>
        <v>861261.85799999977</v>
      </c>
      <c r="E58" s="73" t="s">
        <v>1</v>
      </c>
      <c r="F58" s="73" t="s">
        <v>1</v>
      </c>
      <c r="G58" s="73" t="s">
        <v>1</v>
      </c>
      <c r="H58" s="85">
        <f>SUM(H22:H57)</f>
        <v>45272173.008000016</v>
      </c>
      <c r="I58" s="85">
        <f>SUM(I22:I57)</f>
        <v>0</v>
      </c>
      <c r="J58" s="85">
        <f>SUM(J22:J57)</f>
        <v>45272173.008000016</v>
      </c>
      <c r="K58" s="83"/>
      <c r="L58" s="83"/>
      <c r="M58" s="83"/>
      <c r="N58" s="86">
        <f>N35</f>
        <v>0</v>
      </c>
    </row>
    <row r="59" spans="1:14" s="71" customFormat="1" ht="13.2" x14ac:dyDescent="0.25"/>
    <row r="60" spans="1:14" s="71" customFormat="1" ht="30" customHeight="1" x14ac:dyDescent="0.3">
      <c r="A60" s="245" t="s">
        <v>109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</row>
    <row r="61" spans="1:14" s="71" customFormat="1" ht="13.2" x14ac:dyDescent="0.25"/>
    <row r="62" spans="1:14" s="71" customFormat="1" ht="12" customHeight="1" x14ac:dyDescent="0.25">
      <c r="A62" s="232" t="s">
        <v>56</v>
      </c>
      <c r="B62" s="232" t="s">
        <v>110</v>
      </c>
      <c r="C62" s="232"/>
      <c r="D62" s="232" t="s">
        <v>111</v>
      </c>
      <c r="E62" s="232" t="s">
        <v>112</v>
      </c>
      <c r="F62" s="232" t="s">
        <v>113</v>
      </c>
      <c r="G62" s="236" t="s">
        <v>61</v>
      </c>
      <c r="H62" s="236"/>
      <c r="I62" s="236"/>
      <c r="J62" s="236"/>
      <c r="K62" s="236"/>
      <c r="L62" s="236"/>
    </row>
    <row r="63" spans="1:14" s="71" customFormat="1" ht="103.5" customHeight="1" x14ac:dyDescent="0.25">
      <c r="A63" s="232"/>
      <c r="B63" s="232"/>
      <c r="C63" s="232"/>
      <c r="D63" s="232"/>
      <c r="E63" s="232"/>
      <c r="F63" s="232"/>
      <c r="G63" s="232" t="s">
        <v>66</v>
      </c>
      <c r="H63" s="232"/>
      <c r="I63" s="239" t="s">
        <v>67</v>
      </c>
      <c r="J63" s="240"/>
      <c r="K63" s="241"/>
      <c r="L63" s="231" t="s">
        <v>68</v>
      </c>
    </row>
    <row r="64" spans="1:14" s="71" customFormat="1" ht="26.4" x14ac:dyDescent="0.25">
      <c r="A64" s="232"/>
      <c r="B64" s="232"/>
      <c r="C64" s="232"/>
      <c r="D64" s="232"/>
      <c r="E64" s="232"/>
      <c r="F64" s="232"/>
      <c r="G64" s="74" t="s">
        <v>69</v>
      </c>
      <c r="H64" s="74" t="s">
        <v>70</v>
      </c>
      <c r="I64" s="87" t="s">
        <v>71</v>
      </c>
      <c r="J64" s="74" t="s">
        <v>69</v>
      </c>
      <c r="K64" s="74" t="s">
        <v>70</v>
      </c>
      <c r="L64" s="231"/>
    </row>
    <row r="65" spans="1:12" s="71" customFormat="1" ht="13.2" x14ac:dyDescent="0.25">
      <c r="A65" s="73">
        <v>1</v>
      </c>
      <c r="B65" s="234">
        <v>2</v>
      </c>
      <c r="C65" s="235"/>
      <c r="D65" s="73">
        <v>3</v>
      </c>
      <c r="E65" s="73">
        <v>4</v>
      </c>
      <c r="F65" s="73" t="s">
        <v>114</v>
      </c>
      <c r="G65" s="73">
        <v>6</v>
      </c>
      <c r="H65" s="73">
        <v>7</v>
      </c>
      <c r="I65" s="73">
        <v>8</v>
      </c>
      <c r="J65" s="73">
        <v>9</v>
      </c>
      <c r="K65" s="73">
        <v>10</v>
      </c>
      <c r="L65" s="73">
        <v>11</v>
      </c>
    </row>
    <row r="66" spans="1:12" s="71" customFormat="1" ht="112.95" customHeight="1" x14ac:dyDescent="0.25">
      <c r="A66" s="83"/>
      <c r="B66" s="237" t="s">
        <v>115</v>
      </c>
      <c r="C66" s="238"/>
      <c r="D66" s="83">
        <v>25</v>
      </c>
      <c r="E66" s="88">
        <v>5200</v>
      </c>
      <c r="F66" s="88">
        <f>D66*E66</f>
        <v>130000</v>
      </c>
      <c r="G66" s="88"/>
      <c r="H66" s="88">
        <f>F66</f>
        <v>130000</v>
      </c>
      <c r="I66" s="83"/>
      <c r="J66" s="83"/>
      <c r="K66" s="83"/>
      <c r="L66" s="83"/>
    </row>
    <row r="67" spans="1:12" s="71" customFormat="1" ht="13.2" x14ac:dyDescent="0.25">
      <c r="A67" s="228" t="s">
        <v>116</v>
      </c>
      <c r="B67" s="229"/>
      <c r="C67" s="230"/>
      <c r="D67" s="75" t="s">
        <v>1</v>
      </c>
      <c r="E67" s="75" t="s">
        <v>1</v>
      </c>
      <c r="F67" s="89">
        <f>SUM(F66)</f>
        <v>130000</v>
      </c>
      <c r="G67" s="89">
        <f>G66</f>
        <v>0</v>
      </c>
      <c r="H67" s="89">
        <f>H66</f>
        <v>130000</v>
      </c>
      <c r="I67" s="83"/>
      <c r="J67" s="83"/>
      <c r="K67" s="83"/>
      <c r="L67" s="83"/>
    </row>
    <row r="68" spans="1:12" s="71" customFormat="1" ht="13.2" x14ac:dyDescent="0.25"/>
    <row r="69" spans="1:12" s="71" customFormat="1" ht="13.2" x14ac:dyDescent="0.25"/>
    <row r="70" spans="1:12" s="71" customFormat="1" ht="13.2" x14ac:dyDescent="0.25"/>
    <row r="71" spans="1:12" s="71" customFormat="1" ht="13.2" x14ac:dyDescent="0.25"/>
    <row r="72" spans="1:12" s="71" customFormat="1" ht="13.2" x14ac:dyDescent="0.25"/>
    <row r="73" spans="1:12" s="71" customFormat="1" ht="13.2" x14ac:dyDescent="0.25"/>
    <row r="74" spans="1:12" s="71" customFormat="1" ht="13.2" x14ac:dyDescent="0.25"/>
    <row r="75" spans="1:12" s="71" customFormat="1" ht="13.2" x14ac:dyDescent="0.25"/>
    <row r="76" spans="1:12" s="71" customFormat="1" ht="13.2" x14ac:dyDescent="0.25"/>
    <row r="77" spans="1:12" s="71" customFormat="1" ht="13.2" x14ac:dyDescent="0.25"/>
    <row r="78" spans="1:12" s="71" customFormat="1" ht="13.2" x14ac:dyDescent="0.25"/>
    <row r="79" spans="1:12" s="71" customFormat="1" ht="13.2" x14ac:dyDescent="0.25"/>
    <row r="80" spans="1:12" s="71" customFormat="1" ht="13.2" x14ac:dyDescent="0.25"/>
    <row r="81" s="71" customFormat="1" ht="13.2" x14ac:dyDescent="0.25"/>
    <row r="82" s="71" customFormat="1" ht="13.2" x14ac:dyDescent="0.25"/>
    <row r="83" s="71" customFormat="1" ht="13.2" x14ac:dyDescent="0.25"/>
    <row r="84" s="71" customFormat="1" ht="13.2" x14ac:dyDescent="0.25"/>
    <row r="85" s="71" customFormat="1" ht="13.2" x14ac:dyDescent="0.25"/>
    <row r="86" s="71" customFormat="1" ht="13.2" x14ac:dyDescent="0.25"/>
    <row r="87" s="71" customFormat="1" ht="13.2" x14ac:dyDescent="0.25"/>
    <row r="88" s="71" customFormat="1" ht="13.2" x14ac:dyDescent="0.25"/>
    <row r="89" s="71" customFormat="1" ht="13.2" x14ac:dyDescent="0.25"/>
    <row r="90" s="71" customFormat="1" ht="13.2" x14ac:dyDescent="0.25"/>
    <row r="91" s="71" customFormat="1" ht="13.2" x14ac:dyDescent="0.25"/>
    <row r="92" s="71" customFormat="1" ht="13.2" x14ac:dyDescent="0.25"/>
    <row r="93" s="71" customFormat="1" ht="13.2" x14ac:dyDescent="0.25"/>
    <row r="94" s="71" customFormat="1" ht="13.2" x14ac:dyDescent="0.25"/>
    <row r="95" s="71" customFormat="1" ht="13.2" x14ac:dyDescent="0.25"/>
    <row r="96" s="71" customFormat="1" ht="13.2" x14ac:dyDescent="0.25"/>
    <row r="97" s="71" customFormat="1" ht="13.2" x14ac:dyDescent="0.25"/>
    <row r="98" s="71" customFormat="1" ht="13.2" x14ac:dyDescent="0.25"/>
    <row r="99" s="71" customFormat="1" ht="13.2" x14ac:dyDescent="0.25"/>
    <row r="100" s="71" customFormat="1" ht="13.2" x14ac:dyDescent="0.25"/>
    <row r="101" s="71" customFormat="1" ht="13.2" x14ac:dyDescent="0.25"/>
    <row r="102" s="71" customFormat="1" ht="13.2" x14ac:dyDescent="0.25"/>
    <row r="103" s="71" customFormat="1" ht="13.2" x14ac:dyDescent="0.25"/>
    <row r="104" s="71" customFormat="1" ht="13.2" x14ac:dyDescent="0.25"/>
    <row r="105" s="71" customFormat="1" ht="13.2" x14ac:dyDescent="0.25"/>
    <row r="106" s="71" customFormat="1" ht="13.2" x14ac:dyDescent="0.25"/>
    <row r="107" s="71" customFormat="1" ht="13.2" x14ac:dyDescent="0.25"/>
    <row r="108" s="71" customFormat="1" ht="13.2" x14ac:dyDescent="0.25"/>
    <row r="109" s="71" customFormat="1" ht="13.2" x14ac:dyDescent="0.25"/>
    <row r="110" s="71" customFormat="1" ht="13.2" x14ac:dyDescent="0.25"/>
    <row r="111" s="71" customFormat="1" ht="13.2" x14ac:dyDescent="0.25"/>
    <row r="112" s="71" customFormat="1" ht="13.2" x14ac:dyDescent="0.25"/>
    <row r="113" s="71" customFormat="1" ht="13.2" x14ac:dyDescent="0.25"/>
    <row r="114" s="71" customFormat="1" ht="13.2" x14ac:dyDescent="0.25"/>
    <row r="115" s="71" customFormat="1" ht="13.2" x14ac:dyDescent="0.25"/>
    <row r="116" s="71" customFormat="1" ht="13.2" x14ac:dyDescent="0.25"/>
    <row r="117" s="71" customFormat="1" ht="13.2" x14ac:dyDescent="0.25"/>
    <row r="118" s="71" customFormat="1" ht="13.2" x14ac:dyDescent="0.25"/>
    <row r="119" s="71" customFormat="1" ht="13.2" x14ac:dyDescent="0.25"/>
    <row r="120" s="71" customFormat="1" ht="13.2" x14ac:dyDescent="0.25"/>
    <row r="121" s="71" customFormat="1" ht="13.2" x14ac:dyDescent="0.25"/>
    <row r="122" s="71" customFormat="1" ht="13.2" x14ac:dyDescent="0.25"/>
    <row r="123" s="71" customFormat="1" ht="13.2" x14ac:dyDescent="0.25"/>
    <row r="124" s="71" customFormat="1" ht="13.2" x14ac:dyDescent="0.25"/>
    <row r="125" s="71" customFormat="1" ht="13.2" x14ac:dyDescent="0.25"/>
    <row r="126" s="71" customFormat="1" ht="13.2" x14ac:dyDescent="0.25"/>
    <row r="127" s="71" customFormat="1" ht="13.2" x14ac:dyDescent="0.25"/>
    <row r="128" s="71" customFormat="1" ht="13.2" x14ac:dyDescent="0.25"/>
    <row r="129" s="71" customFormat="1" ht="13.2" x14ac:dyDescent="0.25"/>
    <row r="130" s="71" customFormat="1" ht="13.2" x14ac:dyDescent="0.25"/>
    <row r="131" s="71" customFormat="1" ht="13.2" x14ac:dyDescent="0.25"/>
    <row r="132" s="71" customFormat="1" ht="13.2" x14ac:dyDescent="0.25"/>
    <row r="133" s="71" customFormat="1" ht="13.2" x14ac:dyDescent="0.25"/>
    <row r="134" s="71" customFormat="1" ht="13.2" x14ac:dyDescent="0.25"/>
    <row r="135" s="71" customFormat="1" ht="13.2" x14ac:dyDescent="0.25"/>
    <row r="136" s="71" customFormat="1" ht="13.2" x14ac:dyDescent="0.25"/>
    <row r="137" s="71" customFormat="1" ht="13.2" x14ac:dyDescent="0.25"/>
    <row r="138" s="71" customFormat="1" ht="13.2" x14ac:dyDescent="0.25"/>
    <row r="139" s="71" customFormat="1" ht="13.2" x14ac:dyDescent="0.25"/>
    <row r="140" s="71" customFormat="1" ht="13.2" x14ac:dyDescent="0.25"/>
    <row r="141" s="71" customFormat="1" ht="13.2" x14ac:dyDescent="0.25"/>
    <row r="142" s="71" customFormat="1" ht="13.2" x14ac:dyDescent="0.25"/>
    <row r="143" s="71" customFormat="1" ht="13.2" x14ac:dyDescent="0.25"/>
    <row r="144" s="71" customFormat="1" ht="13.2" x14ac:dyDescent="0.25"/>
    <row r="145" s="71" customFormat="1" ht="13.2" x14ac:dyDescent="0.25"/>
    <row r="146" s="71" customFormat="1" ht="13.2" x14ac:dyDescent="0.25"/>
    <row r="147" s="71" customFormat="1" ht="13.2" x14ac:dyDescent="0.25"/>
    <row r="148" s="71" customFormat="1" ht="13.2" x14ac:dyDescent="0.25"/>
    <row r="149" s="71" customFormat="1" ht="13.2" x14ac:dyDescent="0.25"/>
    <row r="150" s="71" customFormat="1" ht="13.2" x14ac:dyDescent="0.25"/>
    <row r="151" s="71" customFormat="1" ht="13.2" x14ac:dyDescent="0.25"/>
    <row r="152" s="71" customFormat="1" ht="13.2" x14ac:dyDescent="0.25"/>
    <row r="153" s="71" customFormat="1" ht="13.2" x14ac:dyDescent="0.25"/>
    <row r="154" s="71" customFormat="1" ht="13.2" x14ac:dyDescent="0.25"/>
    <row r="155" s="71" customFormat="1" ht="13.2" x14ac:dyDescent="0.25"/>
    <row r="156" s="71" customFormat="1" ht="13.2" x14ac:dyDescent="0.25"/>
    <row r="157" s="71" customFormat="1" ht="13.2" x14ac:dyDescent="0.25"/>
    <row r="158" s="71" customFormat="1" ht="13.2" x14ac:dyDescent="0.25"/>
    <row r="159" s="71" customFormat="1" ht="13.2" x14ac:dyDescent="0.25"/>
    <row r="160" s="71" customFormat="1" ht="13.2" x14ac:dyDescent="0.25"/>
    <row r="161" s="71" customFormat="1" ht="13.2" x14ac:dyDescent="0.25"/>
    <row r="162" s="71" customFormat="1" ht="13.2" x14ac:dyDescent="0.25"/>
    <row r="163" s="71" customFormat="1" ht="13.2" x14ac:dyDescent="0.25"/>
    <row r="164" s="71" customFormat="1" ht="13.2" x14ac:dyDescent="0.25"/>
    <row r="165" s="71" customFormat="1" ht="13.2" x14ac:dyDescent="0.25"/>
    <row r="166" s="71" customFormat="1" ht="13.2" x14ac:dyDescent="0.25"/>
    <row r="167" s="71" customFormat="1" ht="13.2" x14ac:dyDescent="0.25"/>
    <row r="168" s="71" customFormat="1" ht="13.2" x14ac:dyDescent="0.25"/>
    <row r="169" s="71" customFormat="1" ht="13.2" x14ac:dyDescent="0.25"/>
    <row r="170" s="71" customFormat="1" ht="13.2" x14ac:dyDescent="0.25"/>
    <row r="171" s="71" customFormat="1" ht="13.2" x14ac:dyDescent="0.25"/>
    <row r="172" s="71" customFormat="1" ht="13.2" x14ac:dyDescent="0.25"/>
    <row r="173" s="71" customFormat="1" ht="13.2" x14ac:dyDescent="0.25"/>
    <row r="174" s="71" customFormat="1" ht="13.2" x14ac:dyDescent="0.25"/>
    <row r="175" s="71" customFormat="1" ht="13.2" x14ac:dyDescent="0.25"/>
    <row r="176" s="71" customFormat="1" ht="13.2" x14ac:dyDescent="0.25"/>
    <row r="177" s="71" customFormat="1" ht="13.2" x14ac:dyDescent="0.25"/>
    <row r="178" s="71" customFormat="1" ht="13.2" x14ac:dyDescent="0.25"/>
    <row r="179" s="71" customFormat="1" ht="13.2" x14ac:dyDescent="0.25"/>
    <row r="180" s="71" customFormat="1" ht="13.2" x14ac:dyDescent="0.25"/>
    <row r="181" s="71" customFormat="1" ht="13.2" x14ac:dyDescent="0.25"/>
    <row r="182" s="71" customFormat="1" ht="13.2" x14ac:dyDescent="0.25"/>
    <row r="183" s="71" customFormat="1" ht="13.2" x14ac:dyDescent="0.25"/>
    <row r="184" s="71" customFormat="1" ht="13.2" x14ac:dyDescent="0.25"/>
    <row r="185" s="71" customFormat="1" ht="13.2" x14ac:dyDescent="0.25"/>
    <row r="186" s="71" customFormat="1" ht="13.2" x14ac:dyDescent="0.25"/>
    <row r="187" s="71" customFormat="1" ht="13.2" x14ac:dyDescent="0.25"/>
    <row r="188" s="71" customFormat="1" ht="13.2" x14ac:dyDescent="0.25"/>
    <row r="189" s="71" customFormat="1" ht="13.2" x14ac:dyDescent="0.25"/>
    <row r="190" s="71" customFormat="1" ht="13.2" x14ac:dyDescent="0.25"/>
    <row r="191" s="71" customFormat="1" ht="13.2" x14ac:dyDescent="0.25"/>
    <row r="192" s="71" customFormat="1" ht="13.2" x14ac:dyDescent="0.25"/>
    <row r="193" s="71" customFormat="1" ht="13.2" x14ac:dyDescent="0.25"/>
    <row r="194" s="71" customFormat="1" ht="13.2" x14ac:dyDescent="0.25"/>
    <row r="195" s="71" customFormat="1" ht="13.2" x14ac:dyDescent="0.25"/>
    <row r="196" s="71" customFormat="1" ht="13.2" x14ac:dyDescent="0.25"/>
    <row r="197" s="71" customFormat="1" ht="13.2" x14ac:dyDescent="0.25"/>
    <row r="198" s="71" customFormat="1" ht="13.2" x14ac:dyDescent="0.25"/>
    <row r="199" s="71" customFormat="1" ht="13.2" x14ac:dyDescent="0.25"/>
    <row r="200" s="71" customFormat="1" ht="13.2" x14ac:dyDescent="0.25"/>
    <row r="201" s="71" customFormat="1" ht="13.2" x14ac:dyDescent="0.25"/>
    <row r="202" s="71" customFormat="1" ht="13.2" x14ac:dyDescent="0.25"/>
    <row r="203" s="71" customFormat="1" ht="13.2" x14ac:dyDescent="0.25"/>
    <row r="204" s="71" customFormat="1" ht="13.2" x14ac:dyDescent="0.25"/>
    <row r="205" s="71" customFormat="1" ht="13.2" x14ac:dyDescent="0.25"/>
    <row r="206" s="71" customFormat="1" ht="13.2" x14ac:dyDescent="0.25"/>
    <row r="207" s="71" customFormat="1" ht="13.2" x14ac:dyDescent="0.25"/>
    <row r="208" s="71" customFormat="1" ht="13.2" x14ac:dyDescent="0.25"/>
    <row r="209" s="71" customFormat="1" ht="13.2" x14ac:dyDescent="0.25"/>
    <row r="210" s="71" customFormat="1" ht="13.2" x14ac:dyDescent="0.25"/>
    <row r="211" s="71" customFormat="1" ht="13.2" x14ac:dyDescent="0.25"/>
    <row r="212" s="71" customFormat="1" ht="13.2" x14ac:dyDescent="0.25"/>
    <row r="213" s="71" customFormat="1" ht="13.2" x14ac:dyDescent="0.25"/>
    <row r="214" s="71" customFormat="1" ht="13.2" x14ac:dyDescent="0.25"/>
    <row r="215" s="71" customFormat="1" ht="13.2" x14ac:dyDescent="0.25"/>
    <row r="216" s="71" customFormat="1" ht="13.2" x14ac:dyDescent="0.25"/>
    <row r="217" s="71" customFormat="1" ht="13.2" x14ac:dyDescent="0.25"/>
    <row r="218" s="71" customFormat="1" ht="13.2" x14ac:dyDescent="0.25"/>
    <row r="219" s="71" customFormat="1" ht="13.2" x14ac:dyDescent="0.25"/>
    <row r="220" s="71" customFormat="1" ht="13.2" x14ac:dyDescent="0.25"/>
    <row r="221" s="71" customFormat="1" ht="13.2" x14ac:dyDescent="0.25"/>
    <row r="222" s="71" customFormat="1" ht="13.2" x14ac:dyDescent="0.25"/>
    <row r="223" s="71" customFormat="1" ht="13.2" x14ac:dyDescent="0.25"/>
    <row r="224" s="71" customFormat="1" ht="13.2" x14ac:dyDescent="0.25"/>
    <row r="225" s="71" customFormat="1" ht="13.2" x14ac:dyDescent="0.25"/>
    <row r="226" s="71" customFormat="1" ht="13.2" x14ac:dyDescent="0.25"/>
    <row r="227" s="71" customFormat="1" ht="13.2" x14ac:dyDescent="0.25"/>
    <row r="228" s="71" customFormat="1" ht="13.2" x14ac:dyDescent="0.25"/>
    <row r="229" s="71" customFormat="1" ht="13.2" x14ac:dyDescent="0.25"/>
    <row r="230" s="71" customFormat="1" ht="13.2" x14ac:dyDescent="0.25"/>
    <row r="231" s="71" customFormat="1" ht="13.2" x14ac:dyDescent="0.25"/>
    <row r="232" s="71" customFormat="1" ht="13.2" x14ac:dyDescent="0.25"/>
  </sheetData>
  <mergeCells count="29">
    <mergeCell ref="A10:N10"/>
    <mergeCell ref="G12:N12"/>
    <mergeCell ref="A58:B58"/>
    <mergeCell ref="A60:N60"/>
    <mergeCell ref="G62:L62"/>
    <mergeCell ref="D18:G18"/>
    <mergeCell ref="I19:J19"/>
    <mergeCell ref="H18:H20"/>
    <mergeCell ref="B66:C66"/>
    <mergeCell ref="K19:M19"/>
    <mergeCell ref="I63:K63"/>
    <mergeCell ref="G63:H63"/>
    <mergeCell ref="L63:L64"/>
    <mergeCell ref="A67:C67"/>
    <mergeCell ref="N19:N20"/>
    <mergeCell ref="A18:A20"/>
    <mergeCell ref="B18:B20"/>
    <mergeCell ref="C18:C20"/>
    <mergeCell ref="D19:D20"/>
    <mergeCell ref="E19:E20"/>
    <mergeCell ref="B65:C65"/>
    <mergeCell ref="F19:F20"/>
    <mergeCell ref="G19:G20"/>
    <mergeCell ref="I18:N18"/>
    <mergeCell ref="A62:A64"/>
    <mergeCell ref="B62:C64"/>
    <mergeCell ref="D62:D64"/>
    <mergeCell ref="E62:E64"/>
    <mergeCell ref="F62:F64"/>
  </mergeCells>
  <pageMargins left="0.19685039370078741" right="0.19685039370078741" top="0.59055118110236227" bottom="0.19685039370078741" header="0.27559055118110237" footer="0.27559055118110237"/>
  <pageSetup paperSize="9" scale="7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1DEF"/>
  </sheetPr>
  <dimension ref="A1:O240"/>
  <sheetViews>
    <sheetView workbookViewId="0">
      <selection activeCell="O74" sqref="O74"/>
    </sheetView>
  </sheetViews>
  <sheetFormatPr defaultColWidth="1.109375" defaultRowHeight="15.6" x14ac:dyDescent="0.3"/>
  <cols>
    <col min="1" max="1" width="4" style="90" customWidth="1"/>
    <col min="2" max="2" width="17" style="90" customWidth="1"/>
    <col min="3" max="3" width="12.88671875" style="90" customWidth="1"/>
    <col min="4" max="4" width="11.109375" style="90" customWidth="1"/>
    <col min="5" max="5" width="12.88671875" style="90" customWidth="1"/>
    <col min="6" max="7" width="16.33203125" style="90" customWidth="1"/>
    <col min="8" max="8" width="15" style="90" customWidth="1"/>
    <col min="9" max="9" width="14" style="90" customWidth="1"/>
    <col min="10" max="10" width="9.5546875" style="90" customWidth="1"/>
    <col min="11" max="11" width="11.5546875" style="90" customWidth="1"/>
    <col min="12" max="12" width="8.88671875" style="90" customWidth="1"/>
    <col min="13" max="13" width="10.6640625" style="90" customWidth="1"/>
    <col min="14" max="14" width="10.5546875" style="90" customWidth="1"/>
    <col min="15" max="15" width="18.33203125" style="90" customWidth="1"/>
    <col min="16" max="16" width="13.5546875" style="90" customWidth="1"/>
    <col min="17" max="16384" width="1.109375" style="90"/>
  </cols>
  <sheetData>
    <row r="1" spans="1:15" s="60" customFormat="1" x14ac:dyDescent="0.25">
      <c r="O1" s="61" t="s">
        <v>48</v>
      </c>
    </row>
    <row r="2" spans="1:15" s="60" customFormat="1" x14ac:dyDescent="0.25">
      <c r="O2" s="61" t="s">
        <v>49</v>
      </c>
    </row>
    <row r="3" spans="1:15" s="60" customFormat="1" ht="10.199999999999999" x14ac:dyDescent="0.25">
      <c r="O3" s="62"/>
    </row>
    <row r="4" spans="1:15" s="63" customFormat="1" ht="10.199999999999999" x14ac:dyDescent="0.25">
      <c r="O4" s="62"/>
    </row>
    <row r="5" spans="1:15" s="64" customFormat="1" ht="12.75" customHeight="1" x14ac:dyDescent="0.25">
      <c r="O5" s="62"/>
    </row>
    <row r="7" spans="1:15" s="65" customFormat="1" x14ac:dyDescent="0.3">
      <c r="A7" s="242" t="s">
        <v>117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5" s="67" customFormat="1" ht="7.8" x14ac:dyDescent="0.15">
      <c r="A8" s="68"/>
      <c r="B8" s="68"/>
      <c r="C8" s="68"/>
      <c r="D8" s="68"/>
      <c r="E8" s="68"/>
      <c r="F8" s="68"/>
      <c r="G8" s="68"/>
      <c r="H8" s="68"/>
      <c r="I8" s="68"/>
    </row>
    <row r="9" spans="1:15" s="67" customFormat="1" ht="17.25" customHeight="1" x14ac:dyDescent="0.3">
      <c r="A9" s="65" t="s">
        <v>51</v>
      </c>
      <c r="B9" s="68"/>
      <c r="C9" s="68"/>
      <c r="D9" s="68"/>
      <c r="E9" s="68"/>
      <c r="F9" s="69" t="s">
        <v>52</v>
      </c>
      <c r="G9" s="69"/>
      <c r="H9" s="243" t="s">
        <v>53</v>
      </c>
      <c r="I9" s="243"/>
      <c r="J9" s="243"/>
      <c r="K9" s="243"/>
      <c r="L9" s="243"/>
      <c r="M9" s="243"/>
      <c r="N9" s="243"/>
      <c r="O9" s="243"/>
    </row>
    <row r="10" spans="1:15" s="67" customFormat="1" ht="15.75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</row>
    <row r="11" spans="1:15" s="65" customFormat="1" x14ac:dyDescent="0.3">
      <c r="A11" s="70" t="s">
        <v>54</v>
      </c>
      <c r="B11" s="70"/>
      <c r="C11" s="70"/>
      <c r="D11" s="70"/>
      <c r="E11" s="70"/>
      <c r="F11" s="70"/>
      <c r="G11" s="70"/>
      <c r="H11" s="70"/>
      <c r="I11" s="70"/>
    </row>
    <row r="12" spans="1:15" s="71" customFormat="1" ht="13.2" x14ac:dyDescent="0.25"/>
    <row r="13" spans="1:15" x14ac:dyDescent="0.3">
      <c r="A13" s="70" t="s">
        <v>55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s="71" customFormat="1" ht="13.2" x14ac:dyDescent="0.25"/>
    <row r="15" spans="1:15" s="71" customFormat="1" ht="12.75" customHeight="1" x14ac:dyDescent="0.25">
      <c r="A15" s="232" t="s">
        <v>56</v>
      </c>
      <c r="B15" s="233" t="s">
        <v>57</v>
      </c>
      <c r="C15" s="232" t="s">
        <v>58</v>
      </c>
      <c r="D15" s="236" t="s">
        <v>59</v>
      </c>
      <c r="E15" s="236"/>
      <c r="F15" s="236"/>
      <c r="G15" s="236"/>
      <c r="H15" s="236"/>
      <c r="I15" s="232" t="s">
        <v>60</v>
      </c>
      <c r="J15" s="236" t="s">
        <v>61</v>
      </c>
      <c r="K15" s="236"/>
      <c r="L15" s="236"/>
      <c r="M15" s="236"/>
      <c r="N15" s="236"/>
      <c r="O15" s="236"/>
    </row>
    <row r="16" spans="1:15" s="71" customFormat="1" ht="76.5" customHeight="1" x14ac:dyDescent="0.25">
      <c r="A16" s="232"/>
      <c r="B16" s="233"/>
      <c r="C16" s="232"/>
      <c r="D16" s="232" t="s">
        <v>62</v>
      </c>
      <c r="E16" s="232" t="s">
        <v>63</v>
      </c>
      <c r="F16" s="232" t="s">
        <v>64</v>
      </c>
      <c r="G16" s="232" t="s">
        <v>118</v>
      </c>
      <c r="H16" s="232" t="s">
        <v>65</v>
      </c>
      <c r="I16" s="232"/>
      <c r="J16" s="232" t="s">
        <v>66</v>
      </c>
      <c r="K16" s="232"/>
      <c r="L16" s="239" t="s">
        <v>67</v>
      </c>
      <c r="M16" s="240"/>
      <c r="N16" s="241"/>
      <c r="O16" s="231" t="s">
        <v>68</v>
      </c>
    </row>
    <row r="17" spans="1:15" s="71" customFormat="1" ht="39" customHeight="1" x14ac:dyDescent="0.25">
      <c r="A17" s="232"/>
      <c r="B17" s="233"/>
      <c r="C17" s="232"/>
      <c r="D17" s="232"/>
      <c r="E17" s="232"/>
      <c r="F17" s="232"/>
      <c r="G17" s="232"/>
      <c r="H17" s="232"/>
      <c r="I17" s="232"/>
      <c r="J17" s="72" t="s">
        <v>69</v>
      </c>
      <c r="K17" s="72" t="s">
        <v>70</v>
      </c>
      <c r="L17" s="72" t="s">
        <v>71</v>
      </c>
      <c r="M17" s="72" t="s">
        <v>69</v>
      </c>
      <c r="N17" s="72" t="s">
        <v>70</v>
      </c>
      <c r="O17" s="231"/>
    </row>
    <row r="18" spans="1:15" s="71" customFormat="1" ht="13.2" x14ac:dyDescent="0.25">
      <c r="A18" s="75">
        <v>1</v>
      </c>
      <c r="B18" s="75">
        <v>2</v>
      </c>
      <c r="C18" s="75">
        <v>3</v>
      </c>
      <c r="D18" s="75" t="s">
        <v>72</v>
      </c>
      <c r="E18" s="75">
        <v>5</v>
      </c>
      <c r="F18" s="75">
        <v>6</v>
      </c>
      <c r="G18" s="75"/>
      <c r="H18" s="75">
        <v>7</v>
      </c>
      <c r="I18" s="75" t="s">
        <v>73</v>
      </c>
      <c r="J18" s="73">
        <v>9</v>
      </c>
      <c r="K18" s="73">
        <v>10</v>
      </c>
      <c r="L18" s="73">
        <v>11</v>
      </c>
      <c r="M18" s="73">
        <v>12</v>
      </c>
      <c r="N18" s="73">
        <v>13</v>
      </c>
      <c r="O18" s="73">
        <v>14</v>
      </c>
    </row>
    <row r="19" spans="1:15" s="71" customFormat="1" ht="13.8" x14ac:dyDescent="0.25">
      <c r="A19" s="75">
        <v>1</v>
      </c>
      <c r="B19" s="76" t="s">
        <v>74</v>
      </c>
      <c r="C19" s="77">
        <v>1</v>
      </c>
      <c r="D19" s="78">
        <f>E19+F19+H19</f>
        <v>62173.748</v>
      </c>
      <c r="E19" s="78">
        <v>47825.96</v>
      </c>
      <c r="F19" s="75"/>
      <c r="G19" s="75"/>
      <c r="H19" s="81">
        <f>E19*30%</f>
        <v>14347.787999999999</v>
      </c>
      <c r="I19" s="81">
        <f>D19*C19*12</f>
        <v>746084.97600000002</v>
      </c>
      <c r="J19" s="73"/>
      <c r="K19" s="81">
        <f>I19</f>
        <v>746084.97600000002</v>
      </c>
      <c r="L19" s="73"/>
      <c r="M19" s="73"/>
      <c r="N19" s="73"/>
      <c r="O19" s="73"/>
    </row>
    <row r="20" spans="1:15" s="71" customFormat="1" ht="64.5" customHeight="1" x14ac:dyDescent="0.25">
      <c r="A20" s="75">
        <v>2</v>
      </c>
      <c r="B20" s="80" t="s">
        <v>75</v>
      </c>
      <c r="C20" s="77">
        <v>1</v>
      </c>
      <c r="D20" s="78">
        <f t="shared" ref="D20:D64" si="0">E20+F20+H20</f>
        <v>55956.373200000002</v>
      </c>
      <c r="E20" s="78">
        <f>E19*0.9</f>
        <v>43043.364000000001</v>
      </c>
      <c r="F20" s="75"/>
      <c r="G20" s="75"/>
      <c r="H20" s="81">
        <f t="shared" ref="H20:H64" si="1">JA20*30%</f>
        <v>12913.0092</v>
      </c>
      <c r="I20" s="81">
        <f>D20*C20*12</f>
        <v>671476.47840000002</v>
      </c>
      <c r="J20" s="81"/>
      <c r="K20" s="81">
        <f t="shared" ref="K20:K64" si="2">JE20</f>
        <v>671476.47840000002</v>
      </c>
      <c r="L20" s="73"/>
      <c r="M20" s="73"/>
      <c r="N20" s="73"/>
      <c r="O20" s="73"/>
    </row>
    <row r="21" spans="1:15" s="71" customFormat="1" ht="54.75" customHeight="1" x14ac:dyDescent="0.25">
      <c r="A21" s="75">
        <v>3</v>
      </c>
      <c r="B21" s="80" t="s">
        <v>76</v>
      </c>
      <c r="C21" s="77">
        <v>1</v>
      </c>
      <c r="D21" s="78">
        <f t="shared" si="0"/>
        <v>55956.373200000002</v>
      </c>
      <c r="E21" s="78">
        <f>E19*0.9</f>
        <v>43043.364000000001</v>
      </c>
      <c r="F21" s="75"/>
      <c r="G21" s="75"/>
      <c r="H21" s="81">
        <f t="shared" si="1"/>
        <v>12913.0092</v>
      </c>
      <c r="I21" s="81">
        <f>D21*C21*12</f>
        <v>671476.47840000002</v>
      </c>
      <c r="J21" s="81"/>
      <c r="K21" s="81">
        <f t="shared" si="2"/>
        <v>671476.47840000002</v>
      </c>
      <c r="L21" s="73"/>
      <c r="M21" s="73"/>
      <c r="N21" s="73"/>
      <c r="O21" s="73"/>
    </row>
    <row r="22" spans="1:15" s="71" customFormat="1" ht="54" customHeight="1" x14ac:dyDescent="0.25">
      <c r="A22" s="75">
        <v>4</v>
      </c>
      <c r="B22" s="80" t="s">
        <v>77</v>
      </c>
      <c r="C22" s="77">
        <v>1</v>
      </c>
      <c r="D22" s="78">
        <f t="shared" si="0"/>
        <v>55956.373200000002</v>
      </c>
      <c r="E22" s="78">
        <f>E19*0.9</f>
        <v>43043.364000000001</v>
      </c>
      <c r="F22" s="75"/>
      <c r="G22" s="75"/>
      <c r="H22" s="81">
        <f t="shared" si="1"/>
        <v>12913.0092</v>
      </c>
      <c r="I22" s="81">
        <f>D22*C22*8</f>
        <v>447650.98560000001</v>
      </c>
      <c r="J22" s="81"/>
      <c r="K22" s="81">
        <f t="shared" si="2"/>
        <v>447650.98560000001</v>
      </c>
      <c r="L22" s="73"/>
      <c r="M22" s="73"/>
      <c r="N22" s="73"/>
      <c r="O22" s="73"/>
    </row>
    <row r="23" spans="1:15" s="71" customFormat="1" ht="28.5" customHeight="1" x14ac:dyDescent="0.25">
      <c r="A23" s="75">
        <v>5</v>
      </c>
      <c r="B23" s="80" t="s">
        <v>78</v>
      </c>
      <c r="C23" s="77">
        <v>5</v>
      </c>
      <c r="D23" s="78">
        <f t="shared" si="0"/>
        <v>26490.1</v>
      </c>
      <c r="E23" s="78">
        <v>20377</v>
      </c>
      <c r="F23" s="75"/>
      <c r="G23" s="75"/>
      <c r="H23" s="81">
        <f t="shared" si="1"/>
        <v>6113.0999999999995</v>
      </c>
      <c r="I23" s="81">
        <f>D23*C23*8</f>
        <v>1059604</v>
      </c>
      <c r="J23" s="81"/>
      <c r="K23" s="73">
        <f t="shared" si="2"/>
        <v>1059604</v>
      </c>
      <c r="L23" s="73"/>
      <c r="M23" s="73"/>
      <c r="N23" s="73"/>
      <c r="O23" s="73"/>
    </row>
    <row r="24" spans="1:15" s="71" customFormat="1" ht="28.5" customHeight="1" x14ac:dyDescent="0.25">
      <c r="A24" s="75">
        <v>5</v>
      </c>
      <c r="B24" s="80" t="s">
        <v>78</v>
      </c>
      <c r="C24" s="77">
        <v>2</v>
      </c>
      <c r="D24" s="78">
        <f>E24+F24+H24</f>
        <v>26490.1</v>
      </c>
      <c r="E24" s="78">
        <v>20377</v>
      </c>
      <c r="F24" s="75"/>
      <c r="G24" s="75"/>
      <c r="H24" s="81">
        <f>E24*30%</f>
        <v>6113.0999999999995</v>
      </c>
      <c r="I24" s="81">
        <f>D24*C24*4</f>
        <v>211920.8</v>
      </c>
      <c r="J24" s="81"/>
      <c r="K24" s="73">
        <f>I24</f>
        <v>211920.8</v>
      </c>
      <c r="L24" s="73"/>
      <c r="M24" s="73"/>
      <c r="N24" s="73"/>
      <c r="O24" s="73"/>
    </row>
    <row r="25" spans="1:15" s="71" customFormat="1" ht="27" customHeight="1" x14ac:dyDescent="0.25">
      <c r="A25" s="75">
        <v>6</v>
      </c>
      <c r="B25" s="80" t="s">
        <v>79</v>
      </c>
      <c r="C25" s="77">
        <v>1</v>
      </c>
      <c r="D25" s="78">
        <f t="shared" si="0"/>
        <v>23938.004999999997</v>
      </c>
      <c r="E25" s="78">
        <v>18413.849999999999</v>
      </c>
      <c r="F25" s="75"/>
      <c r="G25" s="75"/>
      <c r="H25" s="81">
        <f t="shared" si="1"/>
        <v>5524.1549999999997</v>
      </c>
      <c r="I25" s="81">
        <f t="shared" ref="I25:I38" si="3">IZ25*IY25*12</f>
        <v>287256.05999999994</v>
      </c>
      <c r="J25" s="73"/>
      <c r="K25" s="73">
        <f t="shared" si="2"/>
        <v>287256.05999999994</v>
      </c>
      <c r="L25" s="73"/>
      <c r="M25" s="73"/>
      <c r="N25" s="73"/>
      <c r="O25" s="73"/>
    </row>
    <row r="26" spans="1:15" s="71" customFormat="1" ht="18" customHeight="1" x14ac:dyDescent="0.25">
      <c r="A26" s="75">
        <v>7</v>
      </c>
      <c r="B26" s="80" t="s">
        <v>80</v>
      </c>
      <c r="C26" s="77">
        <v>7.5</v>
      </c>
      <c r="D26" s="78">
        <f>E26+F26+H26</f>
        <v>23418.639999999999</v>
      </c>
      <c r="E26" s="78">
        <v>18886</v>
      </c>
      <c r="F26" s="79"/>
      <c r="G26" s="81">
        <v>20774.599999999999</v>
      </c>
      <c r="H26" s="81">
        <f>E26*24%</f>
        <v>4532.6399999999994</v>
      </c>
      <c r="I26" s="81">
        <f t="shared" si="3"/>
        <v>2107677.5999999996</v>
      </c>
      <c r="J26" s="81"/>
      <c r="K26" s="73">
        <f t="shared" si="2"/>
        <v>2107677.5999999996</v>
      </c>
      <c r="L26" s="73"/>
      <c r="M26" s="73"/>
      <c r="N26" s="73"/>
      <c r="O26" s="73"/>
    </row>
    <row r="27" spans="1:15" s="71" customFormat="1" ht="27" customHeight="1" x14ac:dyDescent="0.25">
      <c r="A27" s="75">
        <v>8</v>
      </c>
      <c r="B27" s="80" t="s">
        <v>81</v>
      </c>
      <c r="C27" s="77">
        <v>3</v>
      </c>
      <c r="D27" s="78">
        <f t="shared" si="0"/>
        <v>18339.3</v>
      </c>
      <c r="E27" s="78">
        <v>14910</v>
      </c>
      <c r="F27" s="79"/>
      <c r="G27" s="81">
        <v>8349.6</v>
      </c>
      <c r="H27" s="81">
        <f>E27*23%</f>
        <v>3429.3</v>
      </c>
      <c r="I27" s="81">
        <f t="shared" si="3"/>
        <v>660214.79999999993</v>
      </c>
      <c r="J27" s="73"/>
      <c r="K27" s="73">
        <f t="shared" si="2"/>
        <v>660214.79999999993</v>
      </c>
      <c r="L27" s="73"/>
      <c r="M27" s="73"/>
      <c r="N27" s="73"/>
      <c r="O27" s="73"/>
    </row>
    <row r="28" spans="1:15" s="71" customFormat="1" ht="24.75" customHeight="1" x14ac:dyDescent="0.25">
      <c r="A28" s="75">
        <v>9</v>
      </c>
      <c r="B28" s="80" t="s">
        <v>81</v>
      </c>
      <c r="C28" s="77">
        <v>2</v>
      </c>
      <c r="D28" s="78">
        <f t="shared" si="0"/>
        <v>23259.599999999999</v>
      </c>
      <c r="E28" s="78">
        <v>17892</v>
      </c>
      <c r="F28" s="75"/>
      <c r="G28" s="75"/>
      <c r="H28" s="81">
        <f t="shared" si="1"/>
        <v>5367.5999999999995</v>
      </c>
      <c r="I28" s="81">
        <f t="shared" si="3"/>
        <v>558230.39999999991</v>
      </c>
      <c r="J28" s="73"/>
      <c r="K28" s="81">
        <f t="shared" si="2"/>
        <v>558230.39999999991</v>
      </c>
      <c r="L28" s="73"/>
      <c r="M28" s="73"/>
      <c r="N28" s="73"/>
      <c r="O28" s="73"/>
    </row>
    <row r="29" spans="1:15" s="71" customFormat="1" ht="42.6" customHeight="1" x14ac:dyDescent="0.25">
      <c r="A29" s="75">
        <v>10</v>
      </c>
      <c r="B29" s="80" t="s">
        <v>82</v>
      </c>
      <c r="C29" s="77">
        <f>13.61+0.39</f>
        <v>14</v>
      </c>
      <c r="D29" s="78">
        <f>E29+F29+H29</f>
        <v>31027.96</v>
      </c>
      <c r="E29" s="78">
        <v>14910</v>
      </c>
      <c r="F29" s="73">
        <v>13135.96</v>
      </c>
      <c r="G29" s="73"/>
      <c r="H29" s="81">
        <f>E29*20%</f>
        <v>2982</v>
      </c>
      <c r="I29" s="81">
        <f t="shared" si="3"/>
        <v>5212697.28</v>
      </c>
      <c r="J29" s="73"/>
      <c r="K29" s="73">
        <f t="shared" si="2"/>
        <v>5212697.28</v>
      </c>
      <c r="L29" s="73"/>
      <c r="M29" s="73"/>
      <c r="N29" s="73"/>
      <c r="O29" s="73"/>
    </row>
    <row r="30" spans="1:15" s="71" customFormat="1" ht="39.6" customHeight="1" x14ac:dyDescent="0.25">
      <c r="A30" s="75">
        <v>11</v>
      </c>
      <c r="B30" s="80" t="s">
        <v>82</v>
      </c>
      <c r="C30" s="77">
        <f>60.24-0.39-4</f>
        <v>55.85</v>
      </c>
      <c r="D30" s="78">
        <f t="shared" si="0"/>
        <v>34606.36</v>
      </c>
      <c r="E30" s="78">
        <v>17892</v>
      </c>
      <c r="F30" s="73">
        <v>13135.96</v>
      </c>
      <c r="G30" s="81">
        <v>176236.2</v>
      </c>
      <c r="H30" s="81">
        <f>E30*20%</f>
        <v>3578.4</v>
      </c>
      <c r="I30" s="81">
        <f>D30*C30*12</f>
        <v>23193182.471999999</v>
      </c>
      <c r="J30" s="73"/>
      <c r="K30" s="73">
        <f t="shared" si="2"/>
        <v>23193182.471999999</v>
      </c>
      <c r="L30" s="73"/>
      <c r="M30" s="73"/>
      <c r="N30" s="73"/>
      <c r="O30" s="73"/>
    </row>
    <row r="31" spans="1:15" s="71" customFormat="1" ht="27" customHeight="1" x14ac:dyDescent="0.25">
      <c r="A31" s="75">
        <v>12</v>
      </c>
      <c r="B31" s="80" t="s">
        <v>83</v>
      </c>
      <c r="C31" s="77">
        <v>4</v>
      </c>
      <c r="D31" s="78">
        <f t="shared" si="0"/>
        <v>22666.474999999999</v>
      </c>
      <c r="E31" s="78">
        <v>17435.75</v>
      </c>
      <c r="F31" s="75"/>
      <c r="G31" s="75"/>
      <c r="H31" s="81">
        <f t="shared" si="1"/>
        <v>5230.7249999999995</v>
      </c>
      <c r="I31" s="81">
        <f t="shared" si="3"/>
        <v>1087990.7999999998</v>
      </c>
      <c r="J31" s="73"/>
      <c r="K31" s="81">
        <f t="shared" si="2"/>
        <v>1087990.7999999998</v>
      </c>
      <c r="L31" s="73"/>
      <c r="M31" s="73"/>
      <c r="N31" s="73"/>
      <c r="O31" s="73"/>
    </row>
    <row r="32" spans="1:15" s="71" customFormat="1" ht="15" customHeight="1" x14ac:dyDescent="0.25">
      <c r="A32" s="75">
        <v>13</v>
      </c>
      <c r="B32" s="80" t="s">
        <v>84</v>
      </c>
      <c r="C32" s="77">
        <v>1</v>
      </c>
      <c r="D32" s="78">
        <f>E32+F32+H32</f>
        <v>49738.998400000004</v>
      </c>
      <c r="E32" s="78">
        <f>E19*0.8</f>
        <v>38260.768000000004</v>
      </c>
      <c r="F32" s="75"/>
      <c r="G32" s="75"/>
      <c r="H32" s="81">
        <f t="shared" si="1"/>
        <v>11478.2304</v>
      </c>
      <c r="I32" s="81">
        <f t="shared" si="3"/>
        <v>596867.98080000002</v>
      </c>
      <c r="J32" s="81"/>
      <c r="K32" s="81">
        <f t="shared" si="2"/>
        <v>596867.98080000002</v>
      </c>
      <c r="L32" s="73"/>
      <c r="M32" s="73"/>
      <c r="N32" s="73"/>
      <c r="O32" s="73"/>
    </row>
    <row r="33" spans="1:15" s="71" customFormat="1" ht="13.8" x14ac:dyDescent="0.25">
      <c r="A33" s="75">
        <v>14</v>
      </c>
      <c r="B33" s="80" t="s">
        <v>85</v>
      </c>
      <c r="C33" s="77">
        <v>1</v>
      </c>
      <c r="D33" s="78">
        <f t="shared" si="0"/>
        <v>19488.963</v>
      </c>
      <c r="E33" s="78">
        <v>14991.51</v>
      </c>
      <c r="F33" s="75"/>
      <c r="G33" s="75"/>
      <c r="H33" s="81">
        <f t="shared" si="1"/>
        <v>4497.4529999999995</v>
      </c>
      <c r="I33" s="81">
        <f t="shared" si="3"/>
        <v>233867.55599999998</v>
      </c>
      <c r="J33" s="81"/>
      <c r="K33" s="81">
        <f t="shared" si="2"/>
        <v>233867.55599999998</v>
      </c>
      <c r="L33" s="73"/>
      <c r="M33" s="73"/>
      <c r="N33" s="73"/>
      <c r="O33" s="73"/>
    </row>
    <row r="34" spans="1:15" s="71" customFormat="1" ht="27" customHeight="1" x14ac:dyDescent="0.25">
      <c r="A34" s="75">
        <v>16</v>
      </c>
      <c r="B34" s="80" t="s">
        <v>87</v>
      </c>
      <c r="C34" s="77">
        <v>1</v>
      </c>
      <c r="D34" s="78">
        <f t="shared" si="0"/>
        <v>19488.963</v>
      </c>
      <c r="E34" s="78">
        <v>14991.51</v>
      </c>
      <c r="F34" s="75"/>
      <c r="G34" s="75"/>
      <c r="H34" s="81">
        <f t="shared" si="1"/>
        <v>4497.4529999999995</v>
      </c>
      <c r="I34" s="81">
        <f t="shared" si="3"/>
        <v>233867.55599999998</v>
      </c>
      <c r="J34" s="73"/>
      <c r="K34" s="81">
        <f t="shared" si="2"/>
        <v>233867.55599999998</v>
      </c>
      <c r="L34" s="73"/>
      <c r="M34" s="73"/>
      <c r="N34" s="73"/>
      <c r="O34" s="73"/>
    </row>
    <row r="35" spans="1:15" s="71" customFormat="1" ht="13.8" x14ac:dyDescent="0.25">
      <c r="A35" s="75">
        <v>17</v>
      </c>
      <c r="B35" s="80" t="s">
        <v>88</v>
      </c>
      <c r="C35" s="77">
        <v>1</v>
      </c>
      <c r="D35" s="78">
        <f t="shared" si="0"/>
        <v>19488.963</v>
      </c>
      <c r="E35" s="78">
        <v>14991.51</v>
      </c>
      <c r="F35" s="82"/>
      <c r="G35" s="82"/>
      <c r="H35" s="81">
        <f t="shared" si="1"/>
        <v>4497.4529999999995</v>
      </c>
      <c r="I35" s="81">
        <f t="shared" si="3"/>
        <v>233867.55599999998</v>
      </c>
      <c r="J35" s="83"/>
      <c r="K35" s="81">
        <f t="shared" si="2"/>
        <v>233867.55599999998</v>
      </c>
      <c r="L35" s="83"/>
      <c r="M35" s="83"/>
      <c r="N35" s="83"/>
      <c r="O35" s="83"/>
    </row>
    <row r="36" spans="1:15" s="71" customFormat="1" ht="13.8" x14ac:dyDescent="0.25">
      <c r="A36" s="75">
        <v>18</v>
      </c>
      <c r="B36" s="80" t="s">
        <v>89</v>
      </c>
      <c r="C36" s="77">
        <v>1.5</v>
      </c>
      <c r="D36" s="78">
        <f t="shared" si="0"/>
        <v>23938.004999999997</v>
      </c>
      <c r="E36" s="78">
        <v>18413.849999999999</v>
      </c>
      <c r="F36" s="82"/>
      <c r="G36" s="82"/>
      <c r="H36" s="81">
        <f t="shared" si="1"/>
        <v>5524.1549999999997</v>
      </c>
      <c r="I36" s="81">
        <f t="shared" si="3"/>
        <v>430884.08999999991</v>
      </c>
      <c r="J36" s="83"/>
      <c r="K36" s="73">
        <f t="shared" si="2"/>
        <v>430884.08999999991</v>
      </c>
      <c r="L36" s="83"/>
      <c r="M36" s="83"/>
      <c r="N36" s="83"/>
      <c r="O36" s="83"/>
    </row>
    <row r="37" spans="1:15" s="71" customFormat="1" ht="13.8" x14ac:dyDescent="0.25">
      <c r="A37" s="75">
        <v>19</v>
      </c>
      <c r="B37" s="80" t="s">
        <v>90</v>
      </c>
      <c r="C37" s="77">
        <v>1.5</v>
      </c>
      <c r="D37" s="78">
        <f t="shared" si="0"/>
        <v>22666.474999999999</v>
      </c>
      <c r="E37" s="78">
        <v>17435.75</v>
      </c>
      <c r="F37" s="82"/>
      <c r="G37" s="82"/>
      <c r="H37" s="81">
        <f t="shared" si="1"/>
        <v>5230.7249999999995</v>
      </c>
      <c r="I37" s="81">
        <f t="shared" si="3"/>
        <v>407996.54999999993</v>
      </c>
      <c r="J37" s="83"/>
      <c r="K37" s="73">
        <f t="shared" si="2"/>
        <v>407996.54999999993</v>
      </c>
      <c r="L37" s="83"/>
      <c r="M37" s="83"/>
      <c r="N37" s="83"/>
      <c r="O37" s="83"/>
    </row>
    <row r="38" spans="1:15" s="71" customFormat="1" ht="13.8" x14ac:dyDescent="0.25">
      <c r="A38" s="75">
        <v>20</v>
      </c>
      <c r="B38" s="80" t="s">
        <v>91</v>
      </c>
      <c r="C38" s="77">
        <v>1.5</v>
      </c>
      <c r="D38" s="78">
        <f t="shared" si="0"/>
        <v>23938.004999999997</v>
      </c>
      <c r="E38" s="78">
        <v>18413.849999999999</v>
      </c>
      <c r="F38" s="82"/>
      <c r="G38" s="82"/>
      <c r="H38" s="81">
        <f t="shared" si="1"/>
        <v>5524.1549999999997</v>
      </c>
      <c r="I38" s="81">
        <f t="shared" si="3"/>
        <v>430884.08999999991</v>
      </c>
      <c r="J38" s="83"/>
      <c r="K38" s="73">
        <f t="shared" si="2"/>
        <v>430884.08999999991</v>
      </c>
      <c r="L38" s="83"/>
      <c r="M38" s="83"/>
      <c r="N38" s="83"/>
      <c r="O38" s="83"/>
    </row>
    <row r="39" spans="1:15" s="71" customFormat="1" ht="15" customHeight="1" x14ac:dyDescent="0.25">
      <c r="A39" s="75">
        <v>21</v>
      </c>
      <c r="B39" s="80" t="s">
        <v>92</v>
      </c>
      <c r="C39" s="77">
        <v>1</v>
      </c>
      <c r="D39" s="78">
        <f t="shared" si="0"/>
        <v>22666.474999999999</v>
      </c>
      <c r="E39" s="78">
        <v>17435.75</v>
      </c>
      <c r="F39" s="82"/>
      <c r="G39" s="82"/>
      <c r="H39" s="81">
        <f t="shared" si="1"/>
        <v>5230.7249999999995</v>
      </c>
      <c r="I39" s="81">
        <f>D39*C39*7</f>
        <v>158665.32499999998</v>
      </c>
      <c r="J39" s="83"/>
      <c r="K39" s="81">
        <f t="shared" si="2"/>
        <v>158665.32499999998</v>
      </c>
      <c r="L39" s="83"/>
      <c r="M39" s="83"/>
      <c r="N39" s="83"/>
      <c r="O39" s="83"/>
    </row>
    <row r="40" spans="1:15" s="91" customFormat="1" ht="15" customHeight="1" x14ac:dyDescent="0.25">
      <c r="A40" s="92">
        <v>21</v>
      </c>
      <c r="B40" s="93" t="s">
        <v>92</v>
      </c>
      <c r="C40" s="94">
        <v>1</v>
      </c>
      <c r="D40" s="95">
        <f>(E40+F40+H40)/3*2</f>
        <v>15110.983333333332</v>
      </c>
      <c r="E40" s="95">
        <v>17435.75</v>
      </c>
      <c r="F40" s="96"/>
      <c r="G40" s="96"/>
      <c r="H40" s="97">
        <f>E40*30%</f>
        <v>5230.7249999999995</v>
      </c>
      <c r="I40" s="97">
        <f>D40*C40*5</f>
        <v>75554.916666666657</v>
      </c>
      <c r="J40" s="98"/>
      <c r="K40" s="97">
        <f>I40</f>
        <v>75554.916666666657</v>
      </c>
      <c r="L40" s="98"/>
      <c r="M40" s="98"/>
      <c r="N40" s="98"/>
      <c r="O40" s="98"/>
    </row>
    <row r="41" spans="1:15" s="71" customFormat="1" ht="27" customHeight="1" x14ac:dyDescent="0.25">
      <c r="A41" s="75">
        <v>22</v>
      </c>
      <c r="B41" s="80" t="s">
        <v>93</v>
      </c>
      <c r="C41" s="77">
        <v>1</v>
      </c>
      <c r="D41" s="78">
        <f t="shared" si="0"/>
        <v>22666.474999999999</v>
      </c>
      <c r="E41" s="78">
        <v>17435.75</v>
      </c>
      <c r="F41" s="82"/>
      <c r="G41" s="82"/>
      <c r="H41" s="81">
        <f t="shared" si="1"/>
        <v>5230.7249999999995</v>
      </c>
      <c r="I41" s="81">
        <f>D41*C41*7</f>
        <v>158665.32499999998</v>
      </c>
      <c r="J41" s="83"/>
      <c r="K41" s="81">
        <f t="shared" si="2"/>
        <v>158665.32499999998</v>
      </c>
      <c r="L41" s="83"/>
      <c r="M41" s="83"/>
      <c r="N41" s="83"/>
      <c r="O41" s="83"/>
    </row>
    <row r="42" spans="1:15" s="91" customFormat="1" ht="27" customHeight="1" x14ac:dyDescent="0.25">
      <c r="A42" s="92">
        <v>22</v>
      </c>
      <c r="B42" s="93" t="s">
        <v>93</v>
      </c>
      <c r="C42" s="94">
        <v>1</v>
      </c>
      <c r="D42" s="95">
        <f>(E42+F42+H42)/3*2</f>
        <v>15110.983333333332</v>
      </c>
      <c r="E42" s="95">
        <v>17435.75</v>
      </c>
      <c r="F42" s="96"/>
      <c r="G42" s="96"/>
      <c r="H42" s="97">
        <f>E42*30%</f>
        <v>5230.7249999999995</v>
      </c>
      <c r="I42" s="97">
        <f>D42*C42*5</f>
        <v>75554.916666666657</v>
      </c>
      <c r="J42" s="98"/>
      <c r="K42" s="97">
        <f>I42</f>
        <v>75554.916666666657</v>
      </c>
      <c r="L42" s="98"/>
      <c r="M42" s="98"/>
      <c r="N42" s="98"/>
      <c r="O42" s="98"/>
    </row>
    <row r="43" spans="1:15" s="71" customFormat="1" ht="27" customHeight="1" x14ac:dyDescent="0.25">
      <c r="A43" s="75">
        <v>22</v>
      </c>
      <c r="B43" s="80" t="s">
        <v>119</v>
      </c>
      <c r="C43" s="77">
        <v>1</v>
      </c>
      <c r="D43" s="78">
        <f>E43+F43+H43</f>
        <v>14405.443000000001</v>
      </c>
      <c r="E43" s="78">
        <v>11081.11</v>
      </c>
      <c r="F43" s="82"/>
      <c r="G43" s="82"/>
      <c r="H43" s="81">
        <f>E43*30%</f>
        <v>3324.3330000000001</v>
      </c>
      <c r="I43" s="81">
        <f>D43*C43*4</f>
        <v>57621.772000000004</v>
      </c>
      <c r="J43" s="83"/>
      <c r="K43" s="81">
        <f>I43</f>
        <v>57621.772000000004</v>
      </c>
      <c r="L43" s="83"/>
      <c r="M43" s="83"/>
      <c r="N43" s="83"/>
      <c r="O43" s="83"/>
    </row>
    <row r="44" spans="1:15" s="71" customFormat="1" ht="14.25" customHeight="1" x14ac:dyDescent="0.25">
      <c r="A44" s="75">
        <v>23</v>
      </c>
      <c r="B44" s="80" t="s">
        <v>94</v>
      </c>
      <c r="C44" s="77">
        <v>2.5</v>
      </c>
      <c r="D44" s="78">
        <f t="shared" si="0"/>
        <v>13557.764999999999</v>
      </c>
      <c r="E44" s="78">
        <v>10429.049999999999</v>
      </c>
      <c r="F44" s="82"/>
      <c r="G44" s="82"/>
      <c r="H44" s="81">
        <f t="shared" si="1"/>
        <v>3128.7149999999997</v>
      </c>
      <c r="I44" s="81">
        <f>D44*C44*12</f>
        <v>406732.94999999995</v>
      </c>
      <c r="J44" s="83"/>
      <c r="K44" s="73">
        <f t="shared" si="2"/>
        <v>406732.94999999995</v>
      </c>
      <c r="L44" s="83"/>
      <c r="M44" s="83"/>
      <c r="N44" s="83"/>
      <c r="O44" s="83"/>
    </row>
    <row r="45" spans="1:15" s="71" customFormat="1" ht="13.8" x14ac:dyDescent="0.25">
      <c r="A45" s="75">
        <v>23</v>
      </c>
      <c r="B45" s="80" t="s">
        <v>94</v>
      </c>
      <c r="C45" s="77">
        <v>2.5</v>
      </c>
      <c r="D45" s="78">
        <f>E45+F45+H45</f>
        <v>13557.764999999999</v>
      </c>
      <c r="E45" s="78">
        <v>10429.049999999999</v>
      </c>
      <c r="F45" s="82"/>
      <c r="G45" s="82"/>
      <c r="H45" s="81">
        <f>E45*30%</f>
        <v>3128.7149999999997</v>
      </c>
      <c r="I45" s="81">
        <f>D45*C45*12</f>
        <v>406732.94999999995</v>
      </c>
      <c r="J45" s="83"/>
      <c r="K45" s="73">
        <f>I45</f>
        <v>406732.94999999995</v>
      </c>
      <c r="L45" s="83"/>
      <c r="M45" s="83"/>
      <c r="N45" s="83"/>
      <c r="O45" s="83"/>
    </row>
    <row r="46" spans="1:15" s="71" customFormat="1" ht="15" customHeight="1" x14ac:dyDescent="0.25">
      <c r="A46" s="75">
        <v>24</v>
      </c>
      <c r="B46" s="80" t="s">
        <v>95</v>
      </c>
      <c r="C46" s="77">
        <v>1</v>
      </c>
      <c r="D46" s="78">
        <f t="shared" si="0"/>
        <v>13345.839</v>
      </c>
      <c r="E46" s="78">
        <v>10266.030000000001</v>
      </c>
      <c r="F46" s="82"/>
      <c r="G46" s="82"/>
      <c r="H46" s="81">
        <f t="shared" si="1"/>
        <v>3079.8090000000002</v>
      </c>
      <c r="I46" s="81">
        <f>D46*C46*12</f>
        <v>160150.068</v>
      </c>
      <c r="J46" s="83"/>
      <c r="K46" s="81">
        <f t="shared" si="2"/>
        <v>160150.068</v>
      </c>
      <c r="L46" s="83"/>
      <c r="M46" s="83"/>
      <c r="N46" s="83"/>
      <c r="O46" s="83"/>
    </row>
    <row r="47" spans="1:15" s="71" customFormat="1" ht="15" customHeight="1" x14ac:dyDescent="0.25">
      <c r="A47" s="75">
        <v>25</v>
      </c>
      <c r="B47" s="80" t="s">
        <v>96</v>
      </c>
      <c r="C47" s="77">
        <v>1</v>
      </c>
      <c r="D47" s="78">
        <f t="shared" si="0"/>
        <v>14362.803</v>
      </c>
      <c r="E47" s="78">
        <v>11048.31</v>
      </c>
      <c r="F47" s="82"/>
      <c r="G47" s="82"/>
      <c r="H47" s="81">
        <f t="shared" si="1"/>
        <v>3314.4929999999999</v>
      </c>
      <c r="I47" s="81">
        <f>D47*C47*7</f>
        <v>100539.621</v>
      </c>
      <c r="J47" s="83"/>
      <c r="K47" s="81">
        <f t="shared" si="2"/>
        <v>100539.621</v>
      </c>
      <c r="L47" s="83"/>
      <c r="M47" s="83"/>
      <c r="N47" s="83"/>
      <c r="O47" s="83"/>
    </row>
    <row r="48" spans="1:15" s="91" customFormat="1" ht="15" customHeight="1" x14ac:dyDescent="0.25">
      <c r="A48" s="92">
        <v>25</v>
      </c>
      <c r="B48" s="93" t="s">
        <v>96</v>
      </c>
      <c r="C48" s="94">
        <v>1</v>
      </c>
      <c r="D48" s="95">
        <f>(E48+F48+H48)/3*2</f>
        <v>9575.2019999999993</v>
      </c>
      <c r="E48" s="95">
        <v>11048.31</v>
      </c>
      <c r="F48" s="96"/>
      <c r="G48" s="96"/>
      <c r="H48" s="97">
        <f>E48*30%</f>
        <v>3314.4929999999999</v>
      </c>
      <c r="I48" s="97">
        <f>D48*C48*5</f>
        <v>47876.009999999995</v>
      </c>
      <c r="J48" s="98"/>
      <c r="K48" s="99">
        <f>I48</f>
        <v>47876.009999999995</v>
      </c>
      <c r="L48" s="98"/>
      <c r="M48" s="98"/>
      <c r="N48" s="98"/>
      <c r="O48" s="98"/>
    </row>
    <row r="49" spans="1:15" s="71" customFormat="1" ht="54.75" customHeight="1" x14ac:dyDescent="0.25">
      <c r="A49" s="75">
        <v>26</v>
      </c>
      <c r="B49" s="80" t="s">
        <v>97</v>
      </c>
      <c r="C49" s="77">
        <v>1</v>
      </c>
      <c r="D49" s="78">
        <f t="shared" si="0"/>
        <v>13557.764999999999</v>
      </c>
      <c r="E49" s="78">
        <v>10429.049999999999</v>
      </c>
      <c r="F49" s="82"/>
      <c r="G49" s="82"/>
      <c r="H49" s="81">
        <f t="shared" si="1"/>
        <v>3128.7149999999997</v>
      </c>
      <c r="I49" s="81">
        <f t="shared" ref="I49:I56" si="4">IZ49*IY49*12</f>
        <v>162693.18</v>
      </c>
      <c r="J49" s="83"/>
      <c r="K49" s="73">
        <f t="shared" si="2"/>
        <v>162693.18</v>
      </c>
      <c r="L49" s="83"/>
      <c r="M49" s="83"/>
      <c r="N49" s="83"/>
      <c r="O49" s="83"/>
    </row>
    <row r="50" spans="1:15" s="71" customFormat="1" ht="15" customHeight="1" x14ac:dyDescent="0.25">
      <c r="A50" s="75">
        <v>27</v>
      </c>
      <c r="B50" s="80" t="s">
        <v>98</v>
      </c>
      <c r="C50" s="77">
        <v>1</v>
      </c>
      <c r="D50" s="78">
        <f t="shared" si="0"/>
        <v>13557.764999999999</v>
      </c>
      <c r="E50" s="78">
        <v>10429.049999999999</v>
      </c>
      <c r="F50" s="82"/>
      <c r="G50" s="82"/>
      <c r="H50" s="81">
        <f t="shared" si="1"/>
        <v>3128.7149999999997</v>
      </c>
      <c r="I50" s="81">
        <f t="shared" si="4"/>
        <v>162693.18</v>
      </c>
      <c r="J50" s="83"/>
      <c r="K50" s="73">
        <f t="shared" si="2"/>
        <v>162693.18</v>
      </c>
      <c r="L50" s="83"/>
      <c r="M50" s="83"/>
      <c r="N50" s="83"/>
      <c r="O50" s="83"/>
    </row>
    <row r="51" spans="1:15" s="71" customFormat="1" ht="15" customHeight="1" x14ac:dyDescent="0.25">
      <c r="A51" s="75">
        <v>27</v>
      </c>
      <c r="B51" s="80" t="s">
        <v>98</v>
      </c>
      <c r="C51" s="77">
        <v>1</v>
      </c>
      <c r="D51" s="78">
        <f>E51+F51+H51</f>
        <v>13557.764999999999</v>
      </c>
      <c r="E51" s="78">
        <v>10429.049999999999</v>
      </c>
      <c r="F51" s="82"/>
      <c r="G51" s="82"/>
      <c r="H51" s="81">
        <f>E51*30%</f>
        <v>3128.7149999999997</v>
      </c>
      <c r="I51" s="81">
        <f t="shared" si="4"/>
        <v>162693.18</v>
      </c>
      <c r="J51" s="83"/>
      <c r="K51" s="73">
        <f>I51</f>
        <v>162693.18</v>
      </c>
      <c r="L51" s="83"/>
      <c r="M51" s="83"/>
      <c r="N51" s="83"/>
      <c r="O51" s="83"/>
    </row>
    <row r="52" spans="1:15" s="71" customFormat="1" ht="15" customHeight="1" x14ac:dyDescent="0.25">
      <c r="A52" s="75">
        <v>28</v>
      </c>
      <c r="B52" s="80" t="s">
        <v>99</v>
      </c>
      <c r="C52" s="77">
        <v>1</v>
      </c>
      <c r="D52" s="78">
        <f>E52+F52+H52</f>
        <v>13557.764999999999</v>
      </c>
      <c r="E52" s="78">
        <v>10429.049999999999</v>
      </c>
      <c r="F52" s="82"/>
      <c r="G52" s="82"/>
      <c r="H52" s="81">
        <f>E52*30%</f>
        <v>3128.7149999999997</v>
      </c>
      <c r="I52" s="81">
        <f t="shared" si="4"/>
        <v>162693.18</v>
      </c>
      <c r="J52" s="83"/>
      <c r="K52" s="73">
        <f>I52</f>
        <v>162693.18</v>
      </c>
      <c r="L52" s="83"/>
      <c r="M52" s="83"/>
      <c r="N52" s="83"/>
      <c r="O52" s="83"/>
    </row>
    <row r="53" spans="1:15" s="71" customFormat="1" ht="15" customHeight="1" x14ac:dyDescent="0.25">
      <c r="A53" s="75">
        <v>28</v>
      </c>
      <c r="B53" s="80" t="s">
        <v>99</v>
      </c>
      <c r="C53" s="77">
        <v>1</v>
      </c>
      <c r="D53" s="78">
        <f t="shared" si="0"/>
        <v>13557.764999999999</v>
      </c>
      <c r="E53" s="78">
        <v>10429.049999999999</v>
      </c>
      <c r="F53" s="82"/>
      <c r="G53" s="82"/>
      <c r="H53" s="81">
        <f t="shared" si="1"/>
        <v>3128.7149999999997</v>
      </c>
      <c r="I53" s="81">
        <f t="shared" si="4"/>
        <v>162693.18</v>
      </c>
      <c r="J53" s="83"/>
      <c r="K53" s="73">
        <f t="shared" si="2"/>
        <v>162693.18</v>
      </c>
      <c r="L53" s="83"/>
      <c r="M53" s="83"/>
      <c r="N53" s="83"/>
      <c r="O53" s="83"/>
    </row>
    <row r="54" spans="1:15" s="71" customFormat="1" ht="13.8" x14ac:dyDescent="0.25">
      <c r="A54" s="75">
        <v>29</v>
      </c>
      <c r="B54" s="80" t="s">
        <v>100</v>
      </c>
      <c r="C54" s="77">
        <v>1</v>
      </c>
      <c r="D54" s="78">
        <f t="shared" si="0"/>
        <v>14362.803</v>
      </c>
      <c r="E54" s="78">
        <v>11048.31</v>
      </c>
      <c r="F54" s="82"/>
      <c r="G54" s="82"/>
      <c r="H54" s="81">
        <f t="shared" si="1"/>
        <v>3314.4929999999999</v>
      </c>
      <c r="I54" s="81">
        <f t="shared" si="4"/>
        <v>172353.636</v>
      </c>
      <c r="J54" s="83"/>
      <c r="K54" s="81">
        <f t="shared" si="2"/>
        <v>172353.636</v>
      </c>
      <c r="L54" s="83"/>
      <c r="M54" s="83"/>
      <c r="N54" s="83"/>
      <c r="O54" s="83"/>
    </row>
    <row r="55" spans="1:15" s="71" customFormat="1" ht="13.8" x14ac:dyDescent="0.25">
      <c r="A55" s="75">
        <v>30</v>
      </c>
      <c r="B55" s="80" t="s">
        <v>101</v>
      </c>
      <c r="C55" s="77">
        <v>1</v>
      </c>
      <c r="D55" s="78">
        <f t="shared" si="0"/>
        <v>14405.443000000001</v>
      </c>
      <c r="E55" s="78">
        <v>11081.11</v>
      </c>
      <c r="F55" s="82"/>
      <c r="G55" s="82"/>
      <c r="H55" s="81">
        <f t="shared" si="1"/>
        <v>3324.3330000000001</v>
      </c>
      <c r="I55" s="81">
        <f t="shared" si="4"/>
        <v>172865.31600000002</v>
      </c>
      <c r="J55" s="83"/>
      <c r="K55" s="81">
        <f t="shared" si="2"/>
        <v>172865.31600000002</v>
      </c>
      <c r="L55" s="83"/>
      <c r="M55" s="83"/>
      <c r="N55" s="83"/>
      <c r="O55" s="83"/>
    </row>
    <row r="56" spans="1:15" s="71" customFormat="1" ht="25.5" customHeight="1" x14ac:dyDescent="0.25">
      <c r="A56" s="75">
        <v>31</v>
      </c>
      <c r="B56" s="80" t="s">
        <v>102</v>
      </c>
      <c r="C56" s="77">
        <v>2</v>
      </c>
      <c r="D56" s="78">
        <f t="shared" si="0"/>
        <v>13345.839</v>
      </c>
      <c r="E56" s="78">
        <v>10266.030000000001</v>
      </c>
      <c r="F56" s="82"/>
      <c r="G56" s="82"/>
      <c r="H56" s="81">
        <f t="shared" si="1"/>
        <v>3079.8090000000002</v>
      </c>
      <c r="I56" s="81">
        <f t="shared" si="4"/>
        <v>320300.136</v>
      </c>
      <c r="J56" s="83"/>
      <c r="K56" s="81">
        <f t="shared" si="2"/>
        <v>320300.136</v>
      </c>
      <c r="L56" s="83"/>
      <c r="M56" s="83"/>
      <c r="N56" s="83"/>
      <c r="O56" s="83"/>
    </row>
    <row r="57" spans="1:15" s="71" customFormat="1" ht="13.8" x14ac:dyDescent="0.25">
      <c r="A57" s="75">
        <v>32</v>
      </c>
      <c r="B57" s="80" t="s">
        <v>103</v>
      </c>
      <c r="C57" s="77">
        <v>2</v>
      </c>
      <c r="D57" s="78">
        <f>E57+F57+H57</f>
        <v>12922</v>
      </c>
      <c r="E57" s="78">
        <v>9940</v>
      </c>
      <c r="F57" s="82"/>
      <c r="G57" s="82"/>
      <c r="H57" s="81">
        <f t="shared" si="1"/>
        <v>2982</v>
      </c>
      <c r="I57" s="81">
        <f>D57*C57*7</f>
        <v>180908</v>
      </c>
      <c r="J57" s="83"/>
      <c r="K57" s="73">
        <f t="shared" si="2"/>
        <v>180908</v>
      </c>
      <c r="L57" s="83"/>
      <c r="M57" s="83"/>
      <c r="N57" s="83"/>
      <c r="O57" s="83"/>
    </row>
    <row r="58" spans="1:15" s="91" customFormat="1" ht="13.8" x14ac:dyDescent="0.25">
      <c r="A58" s="92">
        <v>32</v>
      </c>
      <c r="B58" s="93" t="s">
        <v>103</v>
      </c>
      <c r="C58" s="94">
        <v>2</v>
      </c>
      <c r="D58" s="95">
        <f>(E58+F58+H58)/3*2</f>
        <v>8614.6666666666661</v>
      </c>
      <c r="E58" s="95">
        <v>9940</v>
      </c>
      <c r="F58" s="96"/>
      <c r="G58" s="96"/>
      <c r="H58" s="97">
        <f>E58*30%</f>
        <v>2982</v>
      </c>
      <c r="I58" s="97">
        <f>D58*C58*5</f>
        <v>86146.666666666657</v>
      </c>
      <c r="J58" s="98"/>
      <c r="K58" s="97">
        <f>I58</f>
        <v>86146.666666666657</v>
      </c>
      <c r="L58" s="98"/>
      <c r="M58" s="98"/>
      <c r="N58" s="98"/>
      <c r="O58" s="98"/>
    </row>
    <row r="59" spans="1:15" s="71" customFormat="1" ht="13.8" x14ac:dyDescent="0.25">
      <c r="A59" s="75">
        <v>33</v>
      </c>
      <c r="B59" s="80" t="s">
        <v>104</v>
      </c>
      <c r="C59" s="77">
        <v>2.5</v>
      </c>
      <c r="D59" s="78">
        <f>E59+F59+H59</f>
        <v>13133.925999999999</v>
      </c>
      <c r="E59" s="78">
        <v>10103.02</v>
      </c>
      <c r="F59" s="82"/>
      <c r="G59" s="82"/>
      <c r="H59" s="81">
        <f t="shared" si="1"/>
        <v>3030.9059999999999</v>
      </c>
      <c r="I59" s="81">
        <f>D59*C59*7</f>
        <v>229843.70500000002</v>
      </c>
      <c r="J59" s="83"/>
      <c r="K59" s="81">
        <f t="shared" si="2"/>
        <v>229843.70500000002</v>
      </c>
      <c r="L59" s="83"/>
      <c r="M59" s="83"/>
      <c r="N59" s="83"/>
      <c r="O59" s="83"/>
    </row>
    <row r="60" spans="1:15" s="91" customFormat="1" ht="13.8" x14ac:dyDescent="0.25">
      <c r="A60" s="92">
        <v>33</v>
      </c>
      <c r="B60" s="93" t="s">
        <v>104</v>
      </c>
      <c r="C60" s="94">
        <v>2.5</v>
      </c>
      <c r="D60" s="95">
        <f>(E60+F60+H60)/3*2</f>
        <v>8755.9506666666657</v>
      </c>
      <c r="E60" s="95">
        <v>10103.02</v>
      </c>
      <c r="F60" s="96"/>
      <c r="G60" s="96"/>
      <c r="H60" s="97">
        <f>E60*30%</f>
        <v>3030.9059999999999</v>
      </c>
      <c r="I60" s="97">
        <f>D60*C60*5</f>
        <v>109449.38333333332</v>
      </c>
      <c r="J60" s="98"/>
      <c r="K60" s="97">
        <f>I60</f>
        <v>109449.38333333332</v>
      </c>
      <c r="L60" s="98"/>
      <c r="M60" s="98"/>
      <c r="N60" s="98"/>
      <c r="O60" s="98"/>
    </row>
    <row r="61" spans="1:15" s="71" customFormat="1" ht="39.75" customHeight="1" x14ac:dyDescent="0.25">
      <c r="A61" s="75">
        <v>34</v>
      </c>
      <c r="B61" s="80" t="s">
        <v>105</v>
      </c>
      <c r="C61" s="77">
        <v>4</v>
      </c>
      <c r="D61" s="78">
        <f t="shared" si="0"/>
        <v>13133.925999999999</v>
      </c>
      <c r="E61" s="78">
        <v>10103.02</v>
      </c>
      <c r="F61" s="82"/>
      <c r="G61" s="82"/>
      <c r="H61" s="81">
        <f t="shared" si="1"/>
        <v>3030.9059999999999</v>
      </c>
      <c r="I61" s="81">
        <f>D61*C61*12</f>
        <v>630428.44799999997</v>
      </c>
      <c r="J61" s="83"/>
      <c r="K61" s="81">
        <f t="shared" si="2"/>
        <v>630428.44799999997</v>
      </c>
      <c r="L61" s="83"/>
      <c r="M61" s="83"/>
      <c r="N61" s="83"/>
      <c r="O61" s="83"/>
    </row>
    <row r="62" spans="1:15" s="100" customFormat="1" ht="41.25" customHeight="1" x14ac:dyDescent="0.25">
      <c r="A62" s="101">
        <v>34</v>
      </c>
      <c r="B62" s="80" t="s">
        <v>105</v>
      </c>
      <c r="C62" s="102">
        <v>12</v>
      </c>
      <c r="D62" s="103">
        <f t="shared" si="0"/>
        <v>13133.925999999999</v>
      </c>
      <c r="E62" s="103">
        <v>10103.02</v>
      </c>
      <c r="F62" s="104"/>
      <c r="G62" s="104"/>
      <c r="H62" s="105">
        <f t="shared" si="1"/>
        <v>3030.9059999999999</v>
      </c>
      <c r="I62" s="105">
        <f>D62*C62*7</f>
        <v>1103249.784</v>
      </c>
      <c r="J62" s="106"/>
      <c r="K62" s="105">
        <f t="shared" si="2"/>
        <v>1103249.784</v>
      </c>
      <c r="L62" s="106"/>
      <c r="M62" s="106"/>
      <c r="N62" s="106"/>
      <c r="O62" s="106"/>
    </row>
    <row r="63" spans="1:15" s="91" customFormat="1" ht="39.6" x14ac:dyDescent="0.25">
      <c r="A63" s="92">
        <v>34</v>
      </c>
      <c r="B63" s="93" t="s">
        <v>105</v>
      </c>
      <c r="C63" s="94">
        <v>12</v>
      </c>
      <c r="D63" s="95">
        <f>(E63+F63+H63)/3*2</f>
        <v>8755.9506666666657</v>
      </c>
      <c r="E63" s="95">
        <v>10103.02</v>
      </c>
      <c r="F63" s="96"/>
      <c r="G63" s="96"/>
      <c r="H63" s="97">
        <f>E63*30%</f>
        <v>3030.9059999999999</v>
      </c>
      <c r="I63" s="97">
        <f>D63*C63*5</f>
        <v>525357.04</v>
      </c>
      <c r="J63" s="98"/>
      <c r="K63" s="99">
        <f>I63</f>
        <v>525357.04</v>
      </c>
      <c r="L63" s="98"/>
      <c r="M63" s="98"/>
      <c r="N63" s="98"/>
      <c r="O63" s="98"/>
    </row>
    <row r="64" spans="1:15" s="71" customFormat="1" ht="13.8" x14ac:dyDescent="0.25">
      <c r="A64" s="75">
        <v>35</v>
      </c>
      <c r="B64" s="80" t="s">
        <v>106</v>
      </c>
      <c r="C64" s="77">
        <v>1.5</v>
      </c>
      <c r="D64" s="78">
        <f t="shared" si="0"/>
        <v>12922</v>
      </c>
      <c r="E64" s="78">
        <v>9940</v>
      </c>
      <c r="F64" s="82"/>
      <c r="G64" s="82"/>
      <c r="H64" s="81">
        <f t="shared" si="1"/>
        <v>2982</v>
      </c>
      <c r="I64" s="81">
        <f>D64*C64*7</f>
        <v>135681</v>
      </c>
      <c r="J64" s="83"/>
      <c r="K64" s="81">
        <f t="shared" si="2"/>
        <v>135681</v>
      </c>
      <c r="L64" s="83"/>
      <c r="M64" s="83"/>
      <c r="N64" s="83"/>
      <c r="O64" s="83"/>
    </row>
    <row r="65" spans="1:15" s="91" customFormat="1" ht="13.8" x14ac:dyDescent="0.25">
      <c r="A65" s="92">
        <v>35</v>
      </c>
      <c r="B65" s="93" t="s">
        <v>106</v>
      </c>
      <c r="C65" s="94">
        <v>1.5</v>
      </c>
      <c r="D65" s="95">
        <f>(E65+F65+H65)/3*2</f>
        <v>8614.6666666666661</v>
      </c>
      <c r="E65" s="95">
        <v>9940</v>
      </c>
      <c r="F65" s="96"/>
      <c r="G65" s="96"/>
      <c r="H65" s="97">
        <f>E65*30%</f>
        <v>2982</v>
      </c>
      <c r="I65" s="97">
        <f>D65*C65*5</f>
        <v>64610</v>
      </c>
      <c r="J65" s="98"/>
      <c r="K65" s="97">
        <f>I65</f>
        <v>64610</v>
      </c>
      <c r="L65" s="98"/>
      <c r="M65" s="98"/>
      <c r="N65" s="98"/>
      <c r="O65" s="98"/>
    </row>
    <row r="66" spans="1:15" s="71" customFormat="1" ht="13.2" x14ac:dyDescent="0.25">
      <c r="A66" s="244" t="s">
        <v>108</v>
      </c>
      <c r="B66" s="244"/>
      <c r="C66" s="73" t="s">
        <v>1</v>
      </c>
      <c r="D66" s="84"/>
      <c r="E66" s="73" t="s">
        <v>1</v>
      </c>
      <c r="F66" s="73" t="s">
        <v>1</v>
      </c>
      <c r="G66" s="85">
        <f>SUM(G19:G65)</f>
        <v>205360.40000000002</v>
      </c>
      <c r="H66" s="85" t="s">
        <v>1</v>
      </c>
      <c r="I66" s="85">
        <f>SUM(I19:I65)+46.62-74000-16000-397000-1018011.82-10000-75140.76</f>
        <v>44086345.41853334</v>
      </c>
      <c r="J66" s="85">
        <f>SUM(J19:J65)</f>
        <v>0</v>
      </c>
      <c r="K66" s="85">
        <f>SUM(K19:K65)+46.62-74000-16000-397000-1018011.82-10000-75140.76</f>
        <v>44086345.41853334</v>
      </c>
      <c r="L66" s="83"/>
      <c r="M66" s="83"/>
      <c r="N66" s="89"/>
      <c r="O66" s="86">
        <f>O33</f>
        <v>0</v>
      </c>
    </row>
    <row r="67" spans="1:15" s="71" customFormat="1" ht="13.2" x14ac:dyDescent="0.25"/>
    <row r="68" spans="1:15" s="71" customFormat="1" ht="30" customHeight="1" x14ac:dyDescent="0.3">
      <c r="A68" s="245" t="s">
        <v>109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</row>
    <row r="69" spans="1:15" s="71" customFormat="1" ht="13.2" x14ac:dyDescent="0.25"/>
    <row r="70" spans="1:15" s="71" customFormat="1" ht="12" customHeight="1" x14ac:dyDescent="0.25">
      <c r="A70" s="232" t="s">
        <v>56</v>
      </c>
      <c r="B70" s="232" t="s">
        <v>110</v>
      </c>
      <c r="C70" s="232"/>
      <c r="D70" s="232" t="s">
        <v>111</v>
      </c>
      <c r="E70" s="232" t="s">
        <v>112</v>
      </c>
      <c r="F70" s="232" t="s">
        <v>113</v>
      </c>
      <c r="G70" s="72"/>
      <c r="H70" s="236" t="s">
        <v>61</v>
      </c>
      <c r="I70" s="236"/>
      <c r="J70" s="236"/>
      <c r="K70" s="236"/>
      <c r="L70" s="236"/>
      <c r="M70" s="236"/>
    </row>
    <row r="71" spans="1:15" s="71" customFormat="1" ht="103.5" customHeight="1" x14ac:dyDescent="0.25">
      <c r="A71" s="232"/>
      <c r="B71" s="232"/>
      <c r="C71" s="232"/>
      <c r="D71" s="232"/>
      <c r="E71" s="232"/>
      <c r="F71" s="232"/>
      <c r="G71" s="72"/>
      <c r="H71" s="232" t="s">
        <v>66</v>
      </c>
      <c r="I71" s="232"/>
      <c r="J71" s="239" t="s">
        <v>67</v>
      </c>
      <c r="K71" s="240"/>
      <c r="L71" s="241"/>
      <c r="M71" s="231" t="s">
        <v>68</v>
      </c>
    </row>
    <row r="72" spans="1:15" s="71" customFormat="1" ht="26.4" x14ac:dyDescent="0.25">
      <c r="A72" s="232"/>
      <c r="B72" s="232"/>
      <c r="C72" s="232"/>
      <c r="D72" s="232"/>
      <c r="E72" s="232"/>
      <c r="F72" s="232"/>
      <c r="G72" s="72"/>
      <c r="H72" s="74" t="s">
        <v>69</v>
      </c>
      <c r="I72" s="74" t="s">
        <v>70</v>
      </c>
      <c r="J72" s="87" t="s">
        <v>71</v>
      </c>
      <c r="K72" s="74" t="s">
        <v>69</v>
      </c>
      <c r="L72" s="74" t="s">
        <v>70</v>
      </c>
      <c r="M72" s="231"/>
    </row>
    <row r="73" spans="1:15" s="71" customFormat="1" ht="13.2" x14ac:dyDescent="0.25">
      <c r="A73" s="73">
        <v>1</v>
      </c>
      <c r="B73" s="234">
        <v>2</v>
      </c>
      <c r="C73" s="235"/>
      <c r="D73" s="73">
        <v>3</v>
      </c>
      <c r="E73" s="73">
        <v>4</v>
      </c>
      <c r="F73" s="73" t="s">
        <v>114</v>
      </c>
      <c r="G73" s="73"/>
      <c r="H73" s="73">
        <v>6</v>
      </c>
      <c r="I73" s="73">
        <v>7</v>
      </c>
      <c r="J73" s="73">
        <v>8</v>
      </c>
      <c r="K73" s="73">
        <v>9</v>
      </c>
      <c r="L73" s="73">
        <v>10</v>
      </c>
      <c r="M73" s="73">
        <v>11</v>
      </c>
    </row>
    <row r="74" spans="1:15" s="71" customFormat="1" ht="112.95" customHeight="1" x14ac:dyDescent="0.25">
      <c r="A74" s="83"/>
      <c r="B74" s="237" t="s">
        <v>115</v>
      </c>
      <c r="C74" s="238"/>
      <c r="D74" s="83">
        <v>80</v>
      </c>
      <c r="E74" s="88">
        <v>3475</v>
      </c>
      <c r="F74" s="88">
        <f>D74*E74+119.57</f>
        <v>278119.57</v>
      </c>
      <c r="G74" s="88"/>
      <c r="H74" s="88"/>
      <c r="I74" s="88">
        <f>F74</f>
        <v>278119.57</v>
      </c>
      <c r="J74" s="83"/>
      <c r="K74" s="83"/>
      <c r="L74" s="83"/>
      <c r="M74" s="83"/>
    </row>
    <row r="75" spans="1:15" s="71" customFormat="1" ht="13.2" x14ac:dyDescent="0.25">
      <c r="A75" s="228" t="s">
        <v>116</v>
      </c>
      <c r="B75" s="229"/>
      <c r="C75" s="230"/>
      <c r="D75" s="75" t="s">
        <v>1</v>
      </c>
      <c r="E75" s="75" t="s">
        <v>1</v>
      </c>
      <c r="F75" s="89">
        <f>SUM(F74)</f>
        <v>278119.57</v>
      </c>
      <c r="G75" s="89"/>
      <c r="H75" s="89">
        <f>H74</f>
        <v>0</v>
      </c>
      <c r="I75" s="89">
        <f>I74</f>
        <v>278119.57</v>
      </c>
      <c r="J75" s="83"/>
      <c r="K75" s="83"/>
      <c r="L75" s="83"/>
      <c r="M75" s="83"/>
    </row>
    <row r="76" spans="1:15" s="71" customFormat="1" ht="13.2" x14ac:dyDescent="0.25"/>
    <row r="77" spans="1:15" s="71" customFormat="1" ht="13.2" x14ac:dyDescent="0.25"/>
    <row r="78" spans="1:15" s="71" customFormat="1" ht="13.2" x14ac:dyDescent="0.25"/>
    <row r="79" spans="1:15" s="71" customFormat="1" ht="13.2" x14ac:dyDescent="0.25"/>
    <row r="80" spans="1:15" s="71" customFormat="1" ht="13.2" x14ac:dyDescent="0.25"/>
    <row r="81" s="71" customFormat="1" ht="13.2" x14ac:dyDescent="0.25"/>
    <row r="82" s="71" customFormat="1" ht="13.2" x14ac:dyDescent="0.25"/>
    <row r="83" s="71" customFormat="1" ht="13.2" x14ac:dyDescent="0.25"/>
    <row r="84" s="71" customFormat="1" ht="13.2" x14ac:dyDescent="0.25"/>
    <row r="85" s="71" customFormat="1" ht="13.2" x14ac:dyDescent="0.25"/>
    <row r="86" s="71" customFormat="1" ht="13.2" x14ac:dyDescent="0.25"/>
    <row r="87" s="71" customFormat="1" ht="13.2" x14ac:dyDescent="0.25"/>
    <row r="88" s="71" customFormat="1" ht="13.2" x14ac:dyDescent="0.25"/>
    <row r="89" s="71" customFormat="1" ht="13.2" x14ac:dyDescent="0.25"/>
    <row r="90" s="71" customFormat="1" ht="13.2" x14ac:dyDescent="0.25"/>
    <row r="91" s="71" customFormat="1" ht="13.2" x14ac:dyDescent="0.25"/>
    <row r="92" s="71" customFormat="1" ht="13.2" x14ac:dyDescent="0.25"/>
    <row r="93" s="71" customFormat="1" ht="13.2" x14ac:dyDescent="0.25"/>
    <row r="94" s="71" customFormat="1" ht="13.2" x14ac:dyDescent="0.25"/>
    <row r="95" s="71" customFormat="1" ht="13.2" x14ac:dyDescent="0.25"/>
    <row r="96" s="71" customFormat="1" ht="13.2" x14ac:dyDescent="0.25"/>
    <row r="97" s="71" customFormat="1" ht="13.2" x14ac:dyDescent="0.25"/>
    <row r="98" s="71" customFormat="1" ht="13.2" x14ac:dyDescent="0.25"/>
    <row r="99" s="71" customFormat="1" ht="13.2" x14ac:dyDescent="0.25"/>
    <row r="100" s="71" customFormat="1" ht="13.2" x14ac:dyDescent="0.25"/>
    <row r="101" s="71" customFormat="1" ht="13.2" x14ac:dyDescent="0.25"/>
    <row r="102" s="71" customFormat="1" ht="13.2" x14ac:dyDescent="0.25"/>
    <row r="103" s="71" customFormat="1" ht="13.2" x14ac:dyDescent="0.25"/>
    <row r="104" s="71" customFormat="1" ht="13.2" x14ac:dyDescent="0.25"/>
    <row r="105" s="71" customFormat="1" ht="13.2" x14ac:dyDescent="0.25"/>
    <row r="106" s="71" customFormat="1" ht="13.2" x14ac:dyDescent="0.25"/>
    <row r="107" s="71" customFormat="1" ht="13.2" x14ac:dyDescent="0.25"/>
    <row r="108" s="71" customFormat="1" ht="13.2" x14ac:dyDescent="0.25"/>
    <row r="109" s="71" customFormat="1" ht="13.2" x14ac:dyDescent="0.25"/>
    <row r="110" s="71" customFormat="1" ht="13.2" x14ac:dyDescent="0.25"/>
    <row r="111" s="71" customFormat="1" ht="13.2" x14ac:dyDescent="0.25"/>
    <row r="112" s="71" customFormat="1" ht="13.2" x14ac:dyDescent="0.25"/>
    <row r="113" s="71" customFormat="1" ht="13.2" x14ac:dyDescent="0.25"/>
    <row r="114" s="71" customFormat="1" ht="13.2" x14ac:dyDescent="0.25"/>
    <row r="115" s="71" customFormat="1" ht="13.2" x14ac:dyDescent="0.25"/>
    <row r="116" s="71" customFormat="1" ht="13.2" x14ac:dyDescent="0.25"/>
    <row r="117" s="71" customFormat="1" ht="13.2" x14ac:dyDescent="0.25"/>
    <row r="118" s="71" customFormat="1" ht="13.2" x14ac:dyDescent="0.25"/>
    <row r="119" s="71" customFormat="1" ht="13.2" x14ac:dyDescent="0.25"/>
    <row r="120" s="71" customFormat="1" ht="13.2" x14ac:dyDescent="0.25"/>
    <row r="121" s="71" customFormat="1" ht="13.2" x14ac:dyDescent="0.25"/>
    <row r="122" s="71" customFormat="1" ht="13.2" x14ac:dyDescent="0.25"/>
    <row r="123" s="71" customFormat="1" ht="13.2" x14ac:dyDescent="0.25"/>
    <row r="124" s="71" customFormat="1" ht="13.2" x14ac:dyDescent="0.25"/>
    <row r="125" s="71" customFormat="1" ht="13.2" x14ac:dyDescent="0.25"/>
    <row r="126" s="71" customFormat="1" ht="13.2" x14ac:dyDescent="0.25"/>
    <row r="127" s="71" customFormat="1" ht="13.2" x14ac:dyDescent="0.25"/>
    <row r="128" s="71" customFormat="1" ht="13.2" x14ac:dyDescent="0.25"/>
    <row r="129" s="71" customFormat="1" ht="13.2" x14ac:dyDescent="0.25"/>
    <row r="130" s="71" customFormat="1" ht="13.2" x14ac:dyDescent="0.25"/>
    <row r="131" s="71" customFormat="1" ht="13.2" x14ac:dyDescent="0.25"/>
    <row r="132" s="71" customFormat="1" ht="13.2" x14ac:dyDescent="0.25"/>
    <row r="133" s="71" customFormat="1" ht="13.2" x14ac:dyDescent="0.25"/>
    <row r="134" s="71" customFormat="1" ht="13.2" x14ac:dyDescent="0.25"/>
    <row r="135" s="71" customFormat="1" ht="13.2" x14ac:dyDescent="0.25"/>
    <row r="136" s="71" customFormat="1" ht="13.2" x14ac:dyDescent="0.25"/>
    <row r="137" s="71" customFormat="1" ht="13.2" x14ac:dyDescent="0.25"/>
    <row r="138" s="71" customFormat="1" ht="13.2" x14ac:dyDescent="0.25"/>
    <row r="139" s="71" customFormat="1" ht="13.2" x14ac:dyDescent="0.25"/>
    <row r="140" s="71" customFormat="1" ht="13.2" x14ac:dyDescent="0.25"/>
    <row r="141" s="71" customFormat="1" ht="13.2" x14ac:dyDescent="0.25"/>
    <row r="142" s="71" customFormat="1" ht="13.2" x14ac:dyDescent="0.25"/>
    <row r="143" s="71" customFormat="1" ht="13.2" x14ac:dyDescent="0.25"/>
    <row r="144" s="71" customFormat="1" ht="13.2" x14ac:dyDescent="0.25"/>
    <row r="145" s="71" customFormat="1" ht="13.2" x14ac:dyDescent="0.25"/>
    <row r="146" s="71" customFormat="1" ht="13.2" x14ac:dyDescent="0.25"/>
    <row r="147" s="71" customFormat="1" ht="13.2" x14ac:dyDescent="0.25"/>
    <row r="148" s="71" customFormat="1" ht="13.2" x14ac:dyDescent="0.25"/>
    <row r="149" s="71" customFormat="1" ht="13.2" x14ac:dyDescent="0.25"/>
    <row r="150" s="71" customFormat="1" ht="13.2" x14ac:dyDescent="0.25"/>
    <row r="151" s="71" customFormat="1" ht="13.2" x14ac:dyDescent="0.25"/>
    <row r="152" s="71" customFormat="1" ht="13.2" x14ac:dyDescent="0.25"/>
    <row r="153" s="71" customFormat="1" ht="13.2" x14ac:dyDescent="0.25"/>
    <row r="154" s="71" customFormat="1" ht="13.2" x14ac:dyDescent="0.25"/>
    <row r="155" s="71" customFormat="1" ht="13.2" x14ac:dyDescent="0.25"/>
    <row r="156" s="71" customFormat="1" ht="13.2" x14ac:dyDescent="0.25"/>
    <row r="157" s="71" customFormat="1" ht="13.2" x14ac:dyDescent="0.25"/>
    <row r="158" s="71" customFormat="1" ht="13.2" x14ac:dyDescent="0.25"/>
    <row r="159" s="71" customFormat="1" ht="13.2" x14ac:dyDescent="0.25"/>
    <row r="160" s="71" customFormat="1" ht="13.2" x14ac:dyDescent="0.25"/>
    <row r="161" s="71" customFormat="1" ht="13.2" x14ac:dyDescent="0.25"/>
    <row r="162" s="71" customFormat="1" ht="13.2" x14ac:dyDescent="0.25"/>
    <row r="163" s="71" customFormat="1" ht="13.2" x14ac:dyDescent="0.25"/>
    <row r="164" s="71" customFormat="1" ht="13.2" x14ac:dyDescent="0.25"/>
    <row r="165" s="71" customFormat="1" ht="13.2" x14ac:dyDescent="0.25"/>
    <row r="166" s="71" customFormat="1" ht="13.2" x14ac:dyDescent="0.25"/>
    <row r="167" s="71" customFormat="1" ht="13.2" x14ac:dyDescent="0.25"/>
    <row r="168" s="71" customFormat="1" ht="13.2" x14ac:dyDescent="0.25"/>
    <row r="169" s="71" customFormat="1" ht="13.2" x14ac:dyDescent="0.25"/>
    <row r="170" s="71" customFormat="1" ht="13.2" x14ac:dyDescent="0.25"/>
    <row r="171" s="71" customFormat="1" ht="13.2" x14ac:dyDescent="0.25"/>
    <row r="172" s="71" customFormat="1" ht="13.2" x14ac:dyDescent="0.25"/>
    <row r="173" s="71" customFormat="1" ht="13.2" x14ac:dyDescent="0.25"/>
    <row r="174" s="71" customFormat="1" ht="13.2" x14ac:dyDescent="0.25"/>
    <row r="175" s="71" customFormat="1" ht="13.2" x14ac:dyDescent="0.25"/>
    <row r="176" s="71" customFormat="1" ht="13.2" x14ac:dyDescent="0.25"/>
    <row r="177" s="71" customFormat="1" ht="13.2" x14ac:dyDescent="0.25"/>
    <row r="178" s="71" customFormat="1" ht="13.2" x14ac:dyDescent="0.25"/>
    <row r="179" s="71" customFormat="1" ht="13.2" x14ac:dyDescent="0.25"/>
    <row r="180" s="71" customFormat="1" ht="13.2" x14ac:dyDescent="0.25"/>
    <row r="181" s="71" customFormat="1" ht="13.2" x14ac:dyDescent="0.25"/>
    <row r="182" s="71" customFormat="1" ht="13.2" x14ac:dyDescent="0.25"/>
    <row r="183" s="71" customFormat="1" ht="13.2" x14ac:dyDescent="0.25"/>
    <row r="184" s="71" customFormat="1" ht="13.2" x14ac:dyDescent="0.25"/>
    <row r="185" s="71" customFormat="1" ht="13.2" x14ac:dyDescent="0.25"/>
    <row r="186" s="71" customFormat="1" ht="13.2" x14ac:dyDescent="0.25"/>
    <row r="187" s="71" customFormat="1" ht="13.2" x14ac:dyDescent="0.25"/>
    <row r="188" s="71" customFormat="1" ht="13.2" x14ac:dyDescent="0.25"/>
    <row r="189" s="71" customFormat="1" ht="13.2" x14ac:dyDescent="0.25"/>
    <row r="190" s="71" customFormat="1" ht="13.2" x14ac:dyDescent="0.25"/>
    <row r="191" s="71" customFormat="1" ht="13.2" x14ac:dyDescent="0.25"/>
    <row r="192" s="71" customFormat="1" ht="13.2" x14ac:dyDescent="0.25"/>
    <row r="193" s="71" customFormat="1" ht="13.2" x14ac:dyDescent="0.25"/>
    <row r="194" s="71" customFormat="1" ht="13.2" x14ac:dyDescent="0.25"/>
    <row r="195" s="71" customFormat="1" ht="13.2" x14ac:dyDescent="0.25"/>
    <row r="196" s="71" customFormat="1" ht="13.2" x14ac:dyDescent="0.25"/>
    <row r="197" s="71" customFormat="1" ht="13.2" x14ac:dyDescent="0.25"/>
    <row r="198" s="71" customFormat="1" ht="13.2" x14ac:dyDescent="0.25"/>
    <row r="199" s="71" customFormat="1" ht="13.2" x14ac:dyDescent="0.25"/>
    <row r="200" s="71" customFormat="1" ht="13.2" x14ac:dyDescent="0.25"/>
    <row r="201" s="71" customFormat="1" ht="13.2" x14ac:dyDescent="0.25"/>
    <row r="202" s="71" customFormat="1" ht="13.2" x14ac:dyDescent="0.25"/>
    <row r="203" s="71" customFormat="1" ht="13.2" x14ac:dyDescent="0.25"/>
    <row r="204" s="71" customFormat="1" ht="13.2" x14ac:dyDescent="0.25"/>
    <row r="205" s="71" customFormat="1" ht="13.2" x14ac:dyDescent="0.25"/>
    <row r="206" s="71" customFormat="1" ht="13.2" x14ac:dyDescent="0.25"/>
    <row r="207" s="71" customFormat="1" ht="13.2" x14ac:dyDescent="0.25"/>
    <row r="208" s="71" customFormat="1" ht="13.2" x14ac:dyDescent="0.25"/>
    <row r="209" s="71" customFormat="1" ht="13.2" x14ac:dyDescent="0.25"/>
    <row r="210" s="71" customFormat="1" ht="13.2" x14ac:dyDescent="0.25"/>
    <row r="211" s="71" customFormat="1" ht="13.2" x14ac:dyDescent="0.25"/>
    <row r="212" s="71" customFormat="1" ht="13.2" x14ac:dyDescent="0.25"/>
    <row r="213" s="71" customFormat="1" ht="13.2" x14ac:dyDescent="0.25"/>
    <row r="214" s="71" customFormat="1" ht="13.2" x14ac:dyDescent="0.25"/>
    <row r="215" s="71" customFormat="1" ht="13.2" x14ac:dyDescent="0.25"/>
    <row r="216" s="71" customFormat="1" ht="13.2" x14ac:dyDescent="0.25"/>
    <row r="217" s="71" customFormat="1" ht="13.2" x14ac:dyDescent="0.25"/>
    <row r="218" s="71" customFormat="1" ht="13.2" x14ac:dyDescent="0.25"/>
    <row r="219" s="71" customFormat="1" ht="13.2" x14ac:dyDescent="0.25"/>
    <row r="220" s="71" customFormat="1" ht="13.2" x14ac:dyDescent="0.25"/>
    <row r="221" s="71" customFormat="1" ht="13.2" x14ac:dyDescent="0.25"/>
    <row r="222" s="71" customFormat="1" ht="13.2" x14ac:dyDescent="0.25"/>
    <row r="223" s="71" customFormat="1" ht="13.2" x14ac:dyDescent="0.25"/>
    <row r="224" s="71" customFormat="1" ht="13.2" x14ac:dyDescent="0.25"/>
    <row r="225" s="71" customFormat="1" ht="13.2" x14ac:dyDescent="0.25"/>
    <row r="226" s="71" customFormat="1" ht="13.2" x14ac:dyDescent="0.25"/>
    <row r="227" s="71" customFormat="1" ht="13.2" x14ac:dyDescent="0.25"/>
    <row r="228" s="71" customFormat="1" ht="13.2" x14ac:dyDescent="0.25"/>
    <row r="229" s="71" customFormat="1" ht="13.2" x14ac:dyDescent="0.25"/>
    <row r="230" s="71" customFormat="1" ht="13.2" x14ac:dyDescent="0.25"/>
    <row r="231" s="71" customFormat="1" ht="13.2" x14ac:dyDescent="0.25"/>
    <row r="232" s="71" customFormat="1" ht="13.2" x14ac:dyDescent="0.25"/>
    <row r="233" s="71" customFormat="1" ht="13.2" x14ac:dyDescent="0.25"/>
    <row r="234" s="71" customFormat="1" ht="13.2" x14ac:dyDescent="0.25"/>
    <row r="235" s="71" customFormat="1" ht="13.2" x14ac:dyDescent="0.25"/>
    <row r="236" s="71" customFormat="1" ht="13.2" x14ac:dyDescent="0.25"/>
    <row r="237" s="71" customFormat="1" ht="13.2" x14ac:dyDescent="0.25"/>
    <row r="238" s="71" customFormat="1" ht="13.2" x14ac:dyDescent="0.25"/>
    <row r="239" s="71" customFormat="1" ht="13.2" x14ac:dyDescent="0.25"/>
    <row r="240" s="71" customFormat="1" ht="13.2" x14ac:dyDescent="0.25"/>
  </sheetData>
  <mergeCells count="30">
    <mergeCell ref="D16:D17"/>
    <mergeCell ref="E16:E17"/>
    <mergeCell ref="O16:O17"/>
    <mergeCell ref="A66:B66"/>
    <mergeCell ref="A7:O7"/>
    <mergeCell ref="H9:O9"/>
    <mergeCell ref="A15:A17"/>
    <mergeCell ref="B15:B17"/>
    <mergeCell ref="C15:C17"/>
    <mergeCell ref="D15:H15"/>
    <mergeCell ref="F16:F17"/>
    <mergeCell ref="H16:H17"/>
    <mergeCell ref="J16:K16"/>
    <mergeCell ref="L16:N16"/>
    <mergeCell ref="G16:G17"/>
    <mergeCell ref="I15:I17"/>
    <mergeCell ref="J15:O15"/>
    <mergeCell ref="H71:I71"/>
    <mergeCell ref="J71:L71"/>
    <mergeCell ref="M71:M72"/>
    <mergeCell ref="B73:C73"/>
    <mergeCell ref="B74:C74"/>
    <mergeCell ref="A75:C75"/>
    <mergeCell ref="A68:O68"/>
    <mergeCell ref="A70:A72"/>
    <mergeCell ref="B70:C72"/>
    <mergeCell ref="D70:D72"/>
    <mergeCell ref="E70:E72"/>
    <mergeCell ref="F70:F72"/>
    <mergeCell ref="H70:M70"/>
  </mergeCells>
  <pageMargins left="0.19685039370078741" right="0.19685039370078741" top="0.59055118110236227" bottom="0.19685039370078741" header="0.27559055118110237" footer="0.27559055118110237"/>
  <pageSetup paperSize="9" scale="53" fitToHeight="2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19EF"/>
    <pageSetUpPr fitToPage="1"/>
  </sheetPr>
  <dimension ref="A1:DN98"/>
  <sheetViews>
    <sheetView workbookViewId="0">
      <selection activeCell="CA23" sqref="CA23"/>
    </sheetView>
  </sheetViews>
  <sheetFormatPr defaultColWidth="1.109375" defaultRowHeight="13.2" x14ac:dyDescent="0.25"/>
  <cols>
    <col min="1" max="1" width="5.44140625" style="71" customWidth="1"/>
    <col min="2" max="54" width="1.109375" style="71"/>
    <col min="55" max="55" width="1.88671875" style="71" customWidth="1"/>
    <col min="56" max="77" width="1.109375" style="71"/>
    <col min="78" max="78" width="13.33203125" style="71" customWidth="1"/>
    <col min="79" max="79" width="16" style="71" customWidth="1"/>
    <col min="80" max="80" width="9.109375" style="71" customWidth="1"/>
    <col min="81" max="81" width="8.109375" style="71" customWidth="1"/>
    <col min="82" max="82" width="10.88671875" style="71" customWidth="1"/>
    <col min="83" max="83" width="19.6640625" style="71" customWidth="1"/>
    <col min="84" max="93" width="1.109375" style="71"/>
    <col min="94" max="94" width="21.44140625" style="71" customWidth="1"/>
    <col min="95" max="112" width="1.109375" style="71"/>
    <col min="113" max="113" width="19.109375" style="71" customWidth="1"/>
    <col min="114" max="117" width="1.109375" style="71"/>
    <col min="118" max="118" width="10.33203125" style="71" customWidth="1"/>
    <col min="119" max="16384" width="1.109375" style="71"/>
  </cols>
  <sheetData>
    <row r="1" spans="1:83" s="107" customFormat="1" ht="13.8" x14ac:dyDescent="0.25">
      <c r="A1" s="108" t="s">
        <v>120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</row>
    <row r="2" spans="1:83" s="109" customFormat="1" ht="15" customHeight="1" x14ac:dyDescent="0.25"/>
    <row r="3" spans="1:83" s="109" customFormat="1" ht="16.5" customHeight="1" x14ac:dyDescent="0.25">
      <c r="A3" s="292" t="s">
        <v>56</v>
      </c>
      <c r="B3" s="292" t="s">
        <v>110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4"/>
      <c r="AG3" s="292" t="s">
        <v>121</v>
      </c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4"/>
      <c r="AU3" s="292" t="s">
        <v>111</v>
      </c>
      <c r="AV3" s="293"/>
      <c r="AW3" s="293"/>
      <c r="AX3" s="293"/>
      <c r="AY3" s="293"/>
      <c r="AZ3" s="293"/>
      <c r="BA3" s="293"/>
      <c r="BB3" s="293"/>
      <c r="BC3" s="294"/>
      <c r="BD3" s="292" t="s">
        <v>122</v>
      </c>
      <c r="BE3" s="293"/>
      <c r="BF3" s="293"/>
      <c r="BG3" s="293"/>
      <c r="BH3" s="293"/>
      <c r="BI3" s="293"/>
      <c r="BJ3" s="293"/>
      <c r="BK3" s="293"/>
      <c r="BL3" s="294"/>
      <c r="BM3" s="292" t="s">
        <v>123</v>
      </c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4"/>
      <c r="BZ3" s="261" t="s">
        <v>61</v>
      </c>
      <c r="CA3" s="261"/>
      <c r="CB3" s="261"/>
      <c r="CC3" s="261"/>
      <c r="CD3" s="261"/>
      <c r="CE3" s="261"/>
    </row>
    <row r="4" spans="1:83" s="109" customFormat="1" ht="81" customHeight="1" x14ac:dyDescent="0.25">
      <c r="A4" s="295"/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7"/>
      <c r="AG4" s="295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7"/>
      <c r="AU4" s="295"/>
      <c r="AV4" s="296"/>
      <c r="AW4" s="296"/>
      <c r="AX4" s="296"/>
      <c r="AY4" s="296"/>
      <c r="AZ4" s="296"/>
      <c r="BA4" s="296"/>
      <c r="BB4" s="296"/>
      <c r="BC4" s="297"/>
      <c r="BD4" s="295"/>
      <c r="BE4" s="296"/>
      <c r="BF4" s="296"/>
      <c r="BG4" s="296"/>
      <c r="BH4" s="296"/>
      <c r="BI4" s="296"/>
      <c r="BJ4" s="296"/>
      <c r="BK4" s="296"/>
      <c r="BL4" s="297"/>
      <c r="BM4" s="295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7"/>
      <c r="BZ4" s="327" t="s">
        <v>66</v>
      </c>
      <c r="CA4" s="327"/>
      <c r="CB4" s="347" t="s">
        <v>67</v>
      </c>
      <c r="CC4" s="348"/>
      <c r="CD4" s="349"/>
      <c r="CE4" s="328" t="s">
        <v>68</v>
      </c>
    </row>
    <row r="5" spans="1:83" s="109" customFormat="1" ht="14.25" customHeight="1" x14ac:dyDescent="0.25">
      <c r="A5" s="295"/>
      <c r="B5" s="29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7"/>
      <c r="AG5" s="295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7"/>
      <c r="AU5" s="295"/>
      <c r="AV5" s="296"/>
      <c r="AW5" s="296"/>
      <c r="AX5" s="296"/>
      <c r="AY5" s="296"/>
      <c r="AZ5" s="296"/>
      <c r="BA5" s="296"/>
      <c r="BB5" s="296"/>
      <c r="BC5" s="297"/>
      <c r="BD5" s="295"/>
      <c r="BE5" s="296"/>
      <c r="BF5" s="296"/>
      <c r="BG5" s="296"/>
      <c r="BH5" s="296"/>
      <c r="BI5" s="296"/>
      <c r="BJ5" s="296"/>
      <c r="BK5" s="296"/>
      <c r="BL5" s="297"/>
      <c r="BM5" s="295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7"/>
      <c r="BZ5" s="331" t="s">
        <v>69</v>
      </c>
      <c r="CA5" s="331" t="s">
        <v>70</v>
      </c>
      <c r="CB5" s="332" t="s">
        <v>71</v>
      </c>
      <c r="CC5" s="331" t="s">
        <v>69</v>
      </c>
      <c r="CD5" s="331" t="s">
        <v>70</v>
      </c>
      <c r="CE5" s="329"/>
    </row>
    <row r="6" spans="1:83" s="109" customFormat="1" ht="16.5" customHeight="1" x14ac:dyDescent="0.25">
      <c r="A6" s="298"/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300"/>
      <c r="AG6" s="298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300"/>
      <c r="AU6" s="298"/>
      <c r="AV6" s="299"/>
      <c r="AW6" s="299"/>
      <c r="AX6" s="299"/>
      <c r="AY6" s="299"/>
      <c r="AZ6" s="299"/>
      <c r="BA6" s="299"/>
      <c r="BB6" s="299"/>
      <c r="BC6" s="300"/>
      <c r="BD6" s="298"/>
      <c r="BE6" s="299"/>
      <c r="BF6" s="299"/>
      <c r="BG6" s="299"/>
      <c r="BH6" s="299"/>
      <c r="BI6" s="299"/>
      <c r="BJ6" s="299"/>
      <c r="BK6" s="299"/>
      <c r="BL6" s="300"/>
      <c r="BM6" s="298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300"/>
      <c r="BZ6" s="331"/>
      <c r="CA6" s="331"/>
      <c r="CB6" s="333"/>
      <c r="CC6" s="331"/>
      <c r="CD6" s="331"/>
      <c r="CE6" s="330"/>
    </row>
    <row r="7" spans="1:83" s="109" customFormat="1" ht="13.8" x14ac:dyDescent="0.25">
      <c r="A7" s="110">
        <v>1</v>
      </c>
      <c r="B7" s="246">
        <v>2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>
        <v>3</v>
      </c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>
        <v>4</v>
      </c>
      <c r="AV7" s="246"/>
      <c r="AW7" s="246"/>
      <c r="AX7" s="246"/>
      <c r="AY7" s="246"/>
      <c r="AZ7" s="246"/>
      <c r="BA7" s="246"/>
      <c r="BB7" s="246"/>
      <c r="BC7" s="246"/>
      <c r="BD7" s="246">
        <v>5</v>
      </c>
      <c r="BE7" s="246"/>
      <c r="BF7" s="246"/>
      <c r="BG7" s="246"/>
      <c r="BH7" s="246"/>
      <c r="BI7" s="246"/>
      <c r="BJ7" s="246"/>
      <c r="BK7" s="246"/>
      <c r="BL7" s="246"/>
      <c r="BM7" s="246" t="s">
        <v>124</v>
      </c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77">
        <v>7</v>
      </c>
      <c r="CA7" s="77">
        <v>8</v>
      </c>
      <c r="CB7" s="77">
        <v>9</v>
      </c>
      <c r="CC7" s="77">
        <v>10</v>
      </c>
      <c r="CD7" s="77">
        <v>11</v>
      </c>
      <c r="CE7" s="77">
        <v>12</v>
      </c>
    </row>
    <row r="8" spans="1:83" s="109" customFormat="1" ht="13.8" x14ac:dyDescent="0.25">
      <c r="A8" s="111"/>
      <c r="B8" s="312" t="s">
        <v>125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265">
        <v>900</v>
      </c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>
        <v>2</v>
      </c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71">
        <f>AG8*AU8</f>
        <v>1800</v>
      </c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111"/>
      <c r="CA8" s="112">
        <f>BM8</f>
        <v>1800</v>
      </c>
      <c r="CB8" s="111"/>
      <c r="CC8" s="111"/>
      <c r="CD8" s="111"/>
      <c r="CE8" s="111"/>
    </row>
    <row r="9" spans="1:83" s="107" customFormat="1" ht="13.8" x14ac:dyDescent="0.25">
      <c r="A9" s="343" t="s">
        <v>126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5"/>
      <c r="AG9" s="289" t="s">
        <v>1</v>
      </c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 t="s">
        <v>1</v>
      </c>
      <c r="AV9" s="289"/>
      <c r="AW9" s="289"/>
      <c r="AX9" s="289"/>
      <c r="AY9" s="289"/>
      <c r="AZ9" s="289"/>
      <c r="BA9" s="289"/>
      <c r="BB9" s="289"/>
      <c r="BC9" s="289"/>
      <c r="BD9" s="289" t="s">
        <v>1</v>
      </c>
      <c r="BE9" s="289"/>
      <c r="BF9" s="289"/>
      <c r="BG9" s="289"/>
      <c r="BH9" s="289"/>
      <c r="BI9" s="289"/>
      <c r="BJ9" s="289"/>
      <c r="BK9" s="289"/>
      <c r="BL9" s="289"/>
      <c r="BM9" s="290">
        <f>CA9</f>
        <v>1800</v>
      </c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113"/>
      <c r="CA9" s="114">
        <f>CA8</f>
        <v>1800</v>
      </c>
      <c r="CB9" s="113"/>
      <c r="CC9" s="113"/>
      <c r="CD9" s="113"/>
      <c r="CE9" s="113"/>
    </row>
    <row r="10" spans="1:83" s="109" customFormat="1" ht="15.75" customHeight="1" x14ac:dyDescent="0.25">
      <c r="A10" s="111">
        <v>1</v>
      </c>
      <c r="B10" s="337" t="s">
        <v>127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265">
        <v>425</v>
      </c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>
        <v>0</v>
      </c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71">
        <f>AG10*AU10</f>
        <v>0</v>
      </c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111"/>
      <c r="CA10" s="112">
        <f>BM10</f>
        <v>0</v>
      </c>
      <c r="CB10" s="111"/>
      <c r="CC10" s="111"/>
      <c r="CD10" s="111"/>
      <c r="CE10" s="111"/>
    </row>
    <row r="11" spans="1:83" s="109" customFormat="1" ht="13.8" x14ac:dyDescent="0.25">
      <c r="A11" s="343" t="s">
        <v>128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5"/>
      <c r="AG11" s="289" t="s">
        <v>1</v>
      </c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 t="s">
        <v>1</v>
      </c>
      <c r="AV11" s="289"/>
      <c r="AW11" s="289"/>
      <c r="AX11" s="289"/>
      <c r="AY11" s="289"/>
      <c r="AZ11" s="289"/>
      <c r="BA11" s="289"/>
      <c r="BB11" s="289"/>
      <c r="BC11" s="289"/>
      <c r="BD11" s="289" t="s">
        <v>1</v>
      </c>
      <c r="BE11" s="289"/>
      <c r="BF11" s="289"/>
      <c r="BG11" s="289"/>
      <c r="BH11" s="289"/>
      <c r="BI11" s="289"/>
      <c r="BJ11" s="289"/>
      <c r="BK11" s="289"/>
      <c r="BL11" s="289"/>
      <c r="BM11" s="290">
        <f>SUM(BM10:BM10)</f>
        <v>0</v>
      </c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113"/>
      <c r="CA11" s="116">
        <f>SUM(CA10:CA10)</f>
        <v>0</v>
      </c>
      <c r="CB11" s="111"/>
      <c r="CC11" s="111"/>
      <c r="CD11" s="111"/>
      <c r="CE11" s="111"/>
    </row>
    <row r="12" spans="1:83" s="109" customFormat="1" ht="15" customHeight="1" x14ac:dyDescent="0.25"/>
    <row r="13" spans="1:83" s="109" customFormat="1" ht="13.8" hidden="1" x14ac:dyDescent="0.25"/>
    <row r="14" spans="1:83" s="109" customFormat="1" ht="13.8" hidden="1" x14ac:dyDescent="0.25"/>
    <row r="15" spans="1:83" s="107" customFormat="1" ht="13.8" x14ac:dyDescent="0.25">
      <c r="A15" s="108" t="s">
        <v>129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</row>
    <row r="16" spans="1:83" s="109" customFormat="1" ht="15" customHeight="1" x14ac:dyDescent="0.25"/>
    <row r="17" spans="1:118" s="109" customFormat="1" ht="13.8" x14ac:dyDescent="0.25">
      <c r="A17" s="276" t="s">
        <v>56</v>
      </c>
      <c r="B17" s="269" t="s">
        <v>110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2"/>
      <c r="AG17" s="292" t="s">
        <v>130</v>
      </c>
      <c r="AH17" s="293"/>
      <c r="AI17" s="293"/>
      <c r="AJ17" s="293"/>
      <c r="AK17" s="293"/>
      <c r="AL17" s="293"/>
      <c r="AM17" s="293"/>
      <c r="AN17" s="293"/>
      <c r="AO17" s="293"/>
      <c r="AP17" s="293"/>
      <c r="AQ17" s="294"/>
      <c r="AR17" s="292" t="s">
        <v>131</v>
      </c>
      <c r="AS17" s="293"/>
      <c r="AT17" s="293"/>
      <c r="AU17" s="293"/>
      <c r="AV17" s="293"/>
      <c r="AW17" s="293"/>
      <c r="AX17" s="293"/>
      <c r="AY17" s="293"/>
      <c r="AZ17" s="293"/>
      <c r="BA17" s="294"/>
      <c r="BB17" s="292" t="s">
        <v>132</v>
      </c>
      <c r="BC17" s="293"/>
      <c r="BD17" s="293"/>
      <c r="BE17" s="293"/>
      <c r="BF17" s="293"/>
      <c r="BG17" s="293"/>
      <c r="BH17" s="293"/>
      <c r="BI17" s="293"/>
      <c r="BJ17" s="293"/>
      <c r="BK17" s="293"/>
      <c r="BL17" s="294"/>
      <c r="BM17" s="292" t="s">
        <v>113</v>
      </c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4"/>
      <c r="BZ17" s="261" t="s">
        <v>61</v>
      </c>
      <c r="CA17" s="261"/>
      <c r="CB17" s="261"/>
      <c r="CC17" s="261"/>
      <c r="CD17" s="261"/>
      <c r="CE17" s="261"/>
    </row>
    <row r="18" spans="1:118" s="109" customFormat="1" ht="77.25" customHeight="1" x14ac:dyDescent="0.25">
      <c r="A18" s="277"/>
      <c r="B18" s="285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4"/>
      <c r="AG18" s="295"/>
      <c r="AH18" s="296"/>
      <c r="AI18" s="296"/>
      <c r="AJ18" s="296"/>
      <c r="AK18" s="296"/>
      <c r="AL18" s="296"/>
      <c r="AM18" s="296"/>
      <c r="AN18" s="296"/>
      <c r="AO18" s="296"/>
      <c r="AP18" s="296"/>
      <c r="AQ18" s="297"/>
      <c r="AR18" s="295"/>
      <c r="AS18" s="296"/>
      <c r="AT18" s="296"/>
      <c r="AU18" s="296"/>
      <c r="AV18" s="296"/>
      <c r="AW18" s="296"/>
      <c r="AX18" s="296"/>
      <c r="AY18" s="296"/>
      <c r="AZ18" s="296"/>
      <c r="BA18" s="297"/>
      <c r="BB18" s="295"/>
      <c r="BC18" s="296"/>
      <c r="BD18" s="296"/>
      <c r="BE18" s="296"/>
      <c r="BF18" s="296"/>
      <c r="BG18" s="296"/>
      <c r="BH18" s="296"/>
      <c r="BI18" s="296"/>
      <c r="BJ18" s="296"/>
      <c r="BK18" s="296"/>
      <c r="BL18" s="297"/>
      <c r="BM18" s="295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7"/>
      <c r="BZ18" s="327" t="s">
        <v>66</v>
      </c>
      <c r="CA18" s="327"/>
      <c r="CB18" s="347" t="s">
        <v>67</v>
      </c>
      <c r="CC18" s="348"/>
      <c r="CD18" s="349"/>
      <c r="CE18" s="328" t="s">
        <v>68</v>
      </c>
    </row>
    <row r="19" spans="1:118" s="109" customFormat="1" ht="12.75" customHeight="1" x14ac:dyDescent="0.25">
      <c r="A19" s="277"/>
      <c r="B19" s="285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4"/>
      <c r="AG19" s="295"/>
      <c r="AH19" s="296"/>
      <c r="AI19" s="296"/>
      <c r="AJ19" s="296"/>
      <c r="AK19" s="296"/>
      <c r="AL19" s="296"/>
      <c r="AM19" s="296"/>
      <c r="AN19" s="296"/>
      <c r="AO19" s="296"/>
      <c r="AP19" s="296"/>
      <c r="AQ19" s="297"/>
      <c r="AR19" s="295"/>
      <c r="AS19" s="296"/>
      <c r="AT19" s="296"/>
      <c r="AU19" s="296"/>
      <c r="AV19" s="296"/>
      <c r="AW19" s="296"/>
      <c r="AX19" s="296"/>
      <c r="AY19" s="296"/>
      <c r="AZ19" s="296"/>
      <c r="BA19" s="297"/>
      <c r="BB19" s="295"/>
      <c r="BC19" s="296"/>
      <c r="BD19" s="296"/>
      <c r="BE19" s="296"/>
      <c r="BF19" s="296"/>
      <c r="BG19" s="296"/>
      <c r="BH19" s="296"/>
      <c r="BI19" s="296"/>
      <c r="BJ19" s="296"/>
      <c r="BK19" s="296"/>
      <c r="BL19" s="297"/>
      <c r="BM19" s="295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7"/>
      <c r="BZ19" s="331" t="s">
        <v>69</v>
      </c>
      <c r="CA19" s="331" t="s">
        <v>70</v>
      </c>
      <c r="CB19" s="332" t="s">
        <v>71</v>
      </c>
      <c r="CC19" s="331" t="s">
        <v>69</v>
      </c>
      <c r="CD19" s="331" t="s">
        <v>70</v>
      </c>
      <c r="CE19" s="329"/>
    </row>
    <row r="20" spans="1:118" s="109" customFormat="1" ht="12.75" customHeight="1" x14ac:dyDescent="0.25">
      <c r="A20" s="278"/>
      <c r="B20" s="270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6"/>
      <c r="AG20" s="298"/>
      <c r="AH20" s="299"/>
      <c r="AI20" s="299"/>
      <c r="AJ20" s="299"/>
      <c r="AK20" s="299"/>
      <c r="AL20" s="299"/>
      <c r="AM20" s="299"/>
      <c r="AN20" s="299"/>
      <c r="AO20" s="299"/>
      <c r="AP20" s="299"/>
      <c r="AQ20" s="300"/>
      <c r="AR20" s="298"/>
      <c r="AS20" s="299"/>
      <c r="AT20" s="299"/>
      <c r="AU20" s="299"/>
      <c r="AV20" s="299"/>
      <c r="AW20" s="299"/>
      <c r="AX20" s="299"/>
      <c r="AY20" s="299"/>
      <c r="AZ20" s="299"/>
      <c r="BA20" s="300"/>
      <c r="BB20" s="298"/>
      <c r="BC20" s="299"/>
      <c r="BD20" s="299"/>
      <c r="BE20" s="299"/>
      <c r="BF20" s="299"/>
      <c r="BG20" s="299"/>
      <c r="BH20" s="299"/>
      <c r="BI20" s="299"/>
      <c r="BJ20" s="299"/>
      <c r="BK20" s="299"/>
      <c r="BL20" s="300"/>
      <c r="BM20" s="298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300"/>
      <c r="BZ20" s="331"/>
      <c r="CA20" s="331"/>
      <c r="CB20" s="333"/>
      <c r="CC20" s="331"/>
      <c r="CD20" s="331"/>
      <c r="CE20" s="330"/>
    </row>
    <row r="21" spans="1:118" s="109" customFormat="1" ht="13.8" x14ac:dyDescent="0.25">
      <c r="A21" s="110">
        <v>1</v>
      </c>
      <c r="B21" s="246">
        <v>2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>
        <v>3</v>
      </c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>
        <v>4</v>
      </c>
      <c r="AS21" s="246"/>
      <c r="AT21" s="246"/>
      <c r="AU21" s="246"/>
      <c r="AV21" s="246"/>
      <c r="AW21" s="246"/>
      <c r="AX21" s="246"/>
      <c r="AY21" s="246"/>
      <c r="AZ21" s="246"/>
      <c r="BA21" s="246"/>
      <c r="BB21" s="246">
        <v>5</v>
      </c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 t="s">
        <v>124</v>
      </c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77">
        <v>7</v>
      </c>
      <c r="CA21" s="77">
        <v>8</v>
      </c>
      <c r="CB21" s="77">
        <v>9</v>
      </c>
      <c r="CC21" s="77">
        <v>10</v>
      </c>
      <c r="CD21" s="77">
        <v>11</v>
      </c>
      <c r="CE21" s="77">
        <v>12</v>
      </c>
    </row>
    <row r="22" spans="1:118" s="109" customFormat="1" ht="13.8" x14ac:dyDescent="0.25">
      <c r="A22" s="110">
        <v>1</v>
      </c>
      <c r="B22" s="248" t="s">
        <v>133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6">
        <v>1</v>
      </c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>
        <v>2</v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6">
        <v>37570.379999999997</v>
      </c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7">
        <f>AG22*AR22*BB22</f>
        <v>75140.759999999995</v>
      </c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77"/>
      <c r="CA22" s="77">
        <f>BM22</f>
        <v>75140.759999999995</v>
      </c>
      <c r="CB22" s="77"/>
      <c r="CC22" s="77"/>
      <c r="CD22" s="77"/>
      <c r="CE22" s="77"/>
    </row>
    <row r="23" spans="1:118" s="109" customFormat="1" ht="13.8" x14ac:dyDescent="0.25">
      <c r="A23" s="351" t="s">
        <v>116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3"/>
      <c r="AG23" s="261" t="s">
        <v>1</v>
      </c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 t="s">
        <v>1</v>
      </c>
      <c r="AS23" s="261"/>
      <c r="AT23" s="261"/>
      <c r="AU23" s="261"/>
      <c r="AV23" s="261"/>
      <c r="AW23" s="261"/>
      <c r="AX23" s="261"/>
      <c r="AY23" s="261"/>
      <c r="AZ23" s="261"/>
      <c r="BA23" s="261"/>
      <c r="BB23" s="261" t="s">
        <v>1</v>
      </c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91">
        <f>BM22</f>
        <v>75140.759999999995</v>
      </c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111"/>
      <c r="CA23" s="115">
        <f>CA22</f>
        <v>75140.759999999995</v>
      </c>
      <c r="CB23" s="111"/>
      <c r="CC23" s="111"/>
      <c r="CD23" s="111"/>
      <c r="CE23" s="111"/>
    </row>
    <row r="24" spans="1:118" s="109" customFormat="1" ht="9.75" customHeight="1" x14ac:dyDescent="0.25"/>
    <row r="25" spans="1:118" s="109" customFormat="1" ht="13.8" x14ac:dyDescent="0.25">
      <c r="A25" s="108" t="s">
        <v>134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</row>
    <row r="26" spans="1:118" s="109" customFormat="1" ht="8.25" customHeight="1" x14ac:dyDescent="0.25"/>
    <row r="27" spans="1:118" s="109" customFormat="1" ht="15.75" customHeight="1" x14ac:dyDescent="0.25">
      <c r="A27" s="276" t="s">
        <v>56</v>
      </c>
      <c r="B27" s="269" t="s">
        <v>110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2"/>
      <c r="AG27" s="292" t="s">
        <v>111</v>
      </c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4"/>
      <c r="BB27" s="292" t="s">
        <v>112</v>
      </c>
      <c r="BC27" s="293"/>
      <c r="BD27" s="293"/>
      <c r="BE27" s="293"/>
      <c r="BF27" s="293"/>
      <c r="BG27" s="293"/>
      <c r="BH27" s="293"/>
      <c r="BI27" s="293"/>
      <c r="BJ27" s="293"/>
      <c r="BK27" s="293"/>
      <c r="BL27" s="294"/>
      <c r="BM27" s="292" t="s">
        <v>113</v>
      </c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4"/>
      <c r="BZ27" s="261" t="s">
        <v>61</v>
      </c>
      <c r="CA27" s="261"/>
      <c r="CB27" s="261"/>
      <c r="CC27" s="261"/>
      <c r="CD27" s="261"/>
      <c r="CE27" s="261"/>
    </row>
    <row r="28" spans="1:118" s="109" customFormat="1" ht="58.95" customHeight="1" x14ac:dyDescent="0.25">
      <c r="A28" s="277"/>
      <c r="B28" s="285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4"/>
      <c r="AG28" s="295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7"/>
      <c r="BB28" s="295"/>
      <c r="BC28" s="296"/>
      <c r="BD28" s="296"/>
      <c r="BE28" s="296"/>
      <c r="BF28" s="296"/>
      <c r="BG28" s="296"/>
      <c r="BH28" s="296"/>
      <c r="BI28" s="296"/>
      <c r="BJ28" s="296"/>
      <c r="BK28" s="296"/>
      <c r="BL28" s="297"/>
      <c r="BM28" s="295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7"/>
      <c r="BZ28" s="327" t="s">
        <v>66</v>
      </c>
      <c r="CA28" s="327"/>
      <c r="CB28" s="347" t="s">
        <v>67</v>
      </c>
      <c r="CC28" s="348"/>
      <c r="CD28" s="349"/>
      <c r="CE28" s="328" t="s">
        <v>68</v>
      </c>
    </row>
    <row r="29" spans="1:118" s="109" customFormat="1" ht="15.75" customHeight="1" x14ac:dyDescent="0.25">
      <c r="A29" s="277"/>
      <c r="B29" s="285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4"/>
      <c r="AG29" s="295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7"/>
      <c r="BB29" s="295"/>
      <c r="BC29" s="296"/>
      <c r="BD29" s="296"/>
      <c r="BE29" s="296"/>
      <c r="BF29" s="296"/>
      <c r="BG29" s="296"/>
      <c r="BH29" s="296"/>
      <c r="BI29" s="296"/>
      <c r="BJ29" s="296"/>
      <c r="BK29" s="296"/>
      <c r="BL29" s="297"/>
      <c r="BM29" s="295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7"/>
      <c r="BZ29" s="331" t="s">
        <v>69</v>
      </c>
      <c r="CA29" s="331" t="s">
        <v>70</v>
      </c>
      <c r="CB29" s="332" t="s">
        <v>71</v>
      </c>
      <c r="CC29" s="331" t="s">
        <v>69</v>
      </c>
      <c r="CD29" s="331" t="s">
        <v>70</v>
      </c>
      <c r="CE29" s="329"/>
    </row>
    <row r="30" spans="1:118" s="109" customFormat="1" ht="11.25" customHeight="1" x14ac:dyDescent="0.25">
      <c r="A30" s="278"/>
      <c r="B30" s="270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6"/>
      <c r="AG30" s="298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300"/>
      <c r="BB30" s="298"/>
      <c r="BC30" s="299"/>
      <c r="BD30" s="299"/>
      <c r="BE30" s="299"/>
      <c r="BF30" s="299"/>
      <c r="BG30" s="299"/>
      <c r="BH30" s="299"/>
      <c r="BI30" s="299"/>
      <c r="BJ30" s="299"/>
      <c r="BK30" s="299"/>
      <c r="BL30" s="300"/>
      <c r="BM30" s="298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300"/>
      <c r="BZ30" s="331"/>
      <c r="CA30" s="331"/>
      <c r="CB30" s="333"/>
      <c r="CC30" s="331"/>
      <c r="CD30" s="331"/>
      <c r="CE30" s="330"/>
    </row>
    <row r="31" spans="1:118" s="109" customFormat="1" ht="13.8" x14ac:dyDescent="0.25">
      <c r="A31" s="110">
        <v>1</v>
      </c>
      <c r="B31" s="246">
        <v>2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340">
        <v>3</v>
      </c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2"/>
      <c r="BB31" s="246">
        <v>4</v>
      </c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 t="s">
        <v>114</v>
      </c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77">
        <v>6</v>
      </c>
      <c r="CA31" s="77">
        <v>7</v>
      </c>
      <c r="CB31" s="77">
        <v>8</v>
      </c>
      <c r="CC31" s="77">
        <v>9</v>
      </c>
      <c r="CD31" s="77">
        <v>10</v>
      </c>
      <c r="CE31" s="77">
        <v>11</v>
      </c>
    </row>
    <row r="32" spans="1:118" s="109" customFormat="1" ht="19.95" customHeight="1" x14ac:dyDescent="0.25">
      <c r="A32" s="111">
        <v>1</v>
      </c>
      <c r="B32" s="249" t="s">
        <v>135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1"/>
      <c r="AG32" s="252">
        <v>20</v>
      </c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4"/>
      <c r="BB32" s="255">
        <v>6443.25</v>
      </c>
      <c r="BC32" s="256"/>
      <c r="BD32" s="256"/>
      <c r="BE32" s="256"/>
      <c r="BF32" s="256"/>
      <c r="BG32" s="256"/>
      <c r="BH32" s="256"/>
      <c r="BI32" s="256"/>
      <c r="BJ32" s="256"/>
      <c r="BK32" s="256"/>
      <c r="BL32" s="257"/>
      <c r="BM32" s="258">
        <f>AG32*BB32</f>
        <v>128865</v>
      </c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60"/>
      <c r="BZ32" s="111"/>
      <c r="CA32" s="119">
        <f>BM32</f>
        <v>128865</v>
      </c>
      <c r="CB32" s="111"/>
      <c r="CC32" s="111"/>
      <c r="CD32" s="111"/>
      <c r="CE32" s="111"/>
      <c r="CP32" s="109">
        <f>1650</f>
        <v>1650</v>
      </c>
      <c r="DI32" s="109">
        <f>122644+1650</f>
        <v>124294</v>
      </c>
      <c r="DN32" s="109">
        <f>DI32/20</f>
        <v>6214.7</v>
      </c>
    </row>
    <row r="33" spans="1:94" s="109" customFormat="1" ht="19.95" customHeight="1" x14ac:dyDescent="0.25">
      <c r="A33" s="111">
        <v>2</v>
      </c>
      <c r="B33" s="249" t="s">
        <v>127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1"/>
      <c r="AG33" s="252">
        <v>12</v>
      </c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4"/>
      <c r="BB33" s="255">
        <v>774.5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7"/>
      <c r="BM33" s="258">
        <f>AG33*BB33</f>
        <v>9294</v>
      </c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60"/>
      <c r="BZ33" s="111"/>
      <c r="CA33" s="119">
        <f>BM33</f>
        <v>9294</v>
      </c>
      <c r="CB33" s="111"/>
      <c r="CC33" s="111"/>
      <c r="CD33" s="111"/>
      <c r="CE33" s="111"/>
    </row>
    <row r="34" spans="1:94" s="109" customFormat="1" ht="19.95" customHeight="1" x14ac:dyDescent="0.25">
      <c r="A34" s="111">
        <v>3</v>
      </c>
      <c r="B34" s="249" t="s">
        <v>136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1"/>
      <c r="AG34" s="252">
        <v>0</v>
      </c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4"/>
      <c r="BB34" s="255">
        <v>1650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7"/>
      <c r="BM34" s="258">
        <f>AG34*BB34</f>
        <v>0</v>
      </c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60"/>
      <c r="BZ34" s="111"/>
      <c r="CA34" s="119">
        <f>BM34</f>
        <v>0</v>
      </c>
      <c r="CB34" s="111"/>
      <c r="CC34" s="111"/>
      <c r="CD34" s="111"/>
      <c r="CE34" s="111"/>
      <c r="CP34" s="109">
        <f>-1650</f>
        <v>-1650</v>
      </c>
    </row>
    <row r="35" spans="1:94" s="109" customFormat="1" ht="13.8" x14ac:dyDescent="0.25">
      <c r="A35" s="343" t="s">
        <v>128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5"/>
      <c r="AG35" s="286" t="s">
        <v>1</v>
      </c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8"/>
      <c r="BB35" s="289" t="s">
        <v>1</v>
      </c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346">
        <f>BM32+BM33+BM34</f>
        <v>138159</v>
      </c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113"/>
      <c r="CA35" s="116">
        <f>CA32+CA33+CA34</f>
        <v>138159</v>
      </c>
      <c r="CB35" s="113"/>
      <c r="CC35" s="113"/>
      <c r="CD35" s="113"/>
      <c r="CE35" s="113"/>
    </row>
    <row r="36" spans="1:94" s="109" customFormat="1" ht="13.8" x14ac:dyDescent="0.2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0"/>
      <c r="CA36" s="123"/>
      <c r="CB36" s="120"/>
      <c r="CC36" s="120"/>
      <c r="CD36" s="120"/>
      <c r="CE36" s="120"/>
    </row>
    <row r="37" spans="1:94" s="109" customFormat="1" ht="28.95" customHeight="1" x14ac:dyDescent="0.25">
      <c r="A37" s="339" t="s">
        <v>137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</row>
    <row r="38" spans="1:94" s="109" customFormat="1" ht="13.8" x14ac:dyDescent="0.25"/>
    <row r="39" spans="1:94" s="109" customFormat="1" ht="13.8" x14ac:dyDescent="0.25">
      <c r="A39" s="292" t="s">
        <v>56</v>
      </c>
      <c r="B39" s="292" t="s">
        <v>110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4"/>
      <c r="AG39" s="292" t="s">
        <v>138</v>
      </c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4"/>
      <c r="AU39" s="292" t="s">
        <v>139</v>
      </c>
      <c r="AV39" s="293"/>
      <c r="AW39" s="293"/>
      <c r="AX39" s="293"/>
      <c r="AY39" s="293"/>
      <c r="AZ39" s="293"/>
      <c r="BA39" s="293"/>
      <c r="BB39" s="293"/>
      <c r="BC39" s="294"/>
      <c r="BD39" s="292" t="s">
        <v>122</v>
      </c>
      <c r="BE39" s="293"/>
      <c r="BF39" s="293"/>
      <c r="BG39" s="293"/>
      <c r="BH39" s="293"/>
      <c r="BI39" s="293"/>
      <c r="BJ39" s="293"/>
      <c r="BK39" s="293"/>
      <c r="BL39" s="294"/>
      <c r="BM39" s="292" t="s">
        <v>123</v>
      </c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4"/>
      <c r="BZ39" s="261" t="s">
        <v>61</v>
      </c>
      <c r="CA39" s="261"/>
      <c r="CB39" s="261"/>
      <c r="CC39" s="261"/>
      <c r="CD39" s="261"/>
      <c r="CE39" s="261"/>
    </row>
    <row r="40" spans="1:94" s="109" customFormat="1" ht="79.5" customHeight="1" x14ac:dyDescent="0.25">
      <c r="A40" s="295"/>
      <c r="B40" s="295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7"/>
      <c r="AG40" s="295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7"/>
      <c r="AU40" s="295"/>
      <c r="AV40" s="296"/>
      <c r="AW40" s="296"/>
      <c r="AX40" s="296"/>
      <c r="AY40" s="296"/>
      <c r="AZ40" s="296"/>
      <c r="BA40" s="296"/>
      <c r="BB40" s="296"/>
      <c r="BC40" s="297"/>
      <c r="BD40" s="295"/>
      <c r="BE40" s="296"/>
      <c r="BF40" s="296"/>
      <c r="BG40" s="296"/>
      <c r="BH40" s="296"/>
      <c r="BI40" s="296"/>
      <c r="BJ40" s="296"/>
      <c r="BK40" s="296"/>
      <c r="BL40" s="297"/>
      <c r="BM40" s="295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7"/>
      <c r="BZ40" s="327" t="s">
        <v>66</v>
      </c>
      <c r="CA40" s="327"/>
      <c r="CB40" s="347" t="s">
        <v>67</v>
      </c>
      <c r="CC40" s="348"/>
      <c r="CD40" s="349"/>
      <c r="CE40" s="328" t="s">
        <v>68</v>
      </c>
    </row>
    <row r="41" spans="1:94" s="109" customFormat="1" ht="15.75" customHeight="1" x14ac:dyDescent="0.25">
      <c r="A41" s="295"/>
      <c r="B41" s="295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7"/>
      <c r="AG41" s="295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7"/>
      <c r="AU41" s="295"/>
      <c r="AV41" s="296"/>
      <c r="AW41" s="296"/>
      <c r="AX41" s="296"/>
      <c r="AY41" s="296"/>
      <c r="AZ41" s="296"/>
      <c r="BA41" s="296"/>
      <c r="BB41" s="296"/>
      <c r="BC41" s="297"/>
      <c r="BD41" s="295"/>
      <c r="BE41" s="296"/>
      <c r="BF41" s="296"/>
      <c r="BG41" s="296"/>
      <c r="BH41" s="296"/>
      <c r="BI41" s="296"/>
      <c r="BJ41" s="296"/>
      <c r="BK41" s="296"/>
      <c r="BL41" s="297"/>
      <c r="BM41" s="29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7"/>
      <c r="BZ41" s="331" t="s">
        <v>69</v>
      </c>
      <c r="CA41" s="331" t="s">
        <v>70</v>
      </c>
      <c r="CB41" s="332" t="s">
        <v>71</v>
      </c>
      <c r="CC41" s="331" t="s">
        <v>69</v>
      </c>
      <c r="CD41" s="331" t="s">
        <v>70</v>
      </c>
      <c r="CE41" s="329"/>
    </row>
    <row r="42" spans="1:94" s="109" customFormat="1" ht="9" customHeight="1" x14ac:dyDescent="0.25">
      <c r="A42" s="298"/>
      <c r="B42" s="298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300"/>
      <c r="AG42" s="298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300"/>
      <c r="AU42" s="298"/>
      <c r="AV42" s="299"/>
      <c r="AW42" s="299"/>
      <c r="AX42" s="299"/>
      <c r="AY42" s="299"/>
      <c r="AZ42" s="299"/>
      <c r="BA42" s="299"/>
      <c r="BB42" s="299"/>
      <c r="BC42" s="300"/>
      <c r="BD42" s="298"/>
      <c r="BE42" s="299"/>
      <c r="BF42" s="299"/>
      <c r="BG42" s="299"/>
      <c r="BH42" s="299"/>
      <c r="BI42" s="299"/>
      <c r="BJ42" s="299"/>
      <c r="BK42" s="299"/>
      <c r="BL42" s="300"/>
      <c r="BM42" s="298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300"/>
      <c r="BZ42" s="331"/>
      <c r="CA42" s="331"/>
      <c r="CB42" s="333"/>
      <c r="CC42" s="331"/>
      <c r="CD42" s="331"/>
      <c r="CE42" s="330"/>
    </row>
    <row r="43" spans="1:94" s="109" customFormat="1" ht="13.8" x14ac:dyDescent="0.25">
      <c r="A43" s="110">
        <v>1</v>
      </c>
      <c r="B43" s="246">
        <v>2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>
        <v>3</v>
      </c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>
        <v>4</v>
      </c>
      <c r="AV43" s="246"/>
      <c r="AW43" s="246"/>
      <c r="AX43" s="246"/>
      <c r="AY43" s="246"/>
      <c r="AZ43" s="246"/>
      <c r="BA43" s="246"/>
      <c r="BB43" s="246"/>
      <c r="BC43" s="246"/>
      <c r="BD43" s="246">
        <v>5</v>
      </c>
      <c r="BE43" s="246"/>
      <c r="BF43" s="246"/>
      <c r="BG43" s="246"/>
      <c r="BH43" s="246"/>
      <c r="BI43" s="246"/>
      <c r="BJ43" s="246"/>
      <c r="BK43" s="246"/>
      <c r="BL43" s="246"/>
      <c r="BM43" s="246" t="s">
        <v>124</v>
      </c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77">
        <v>7</v>
      </c>
      <c r="CA43" s="77">
        <v>8</v>
      </c>
      <c r="CB43" s="77">
        <v>9</v>
      </c>
      <c r="CC43" s="77">
        <v>10</v>
      </c>
      <c r="CD43" s="77">
        <v>11</v>
      </c>
      <c r="CE43" s="77">
        <v>12</v>
      </c>
    </row>
    <row r="44" spans="1:94" s="109" customFormat="1" ht="13.8" x14ac:dyDescent="0.25">
      <c r="A44" s="111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111"/>
      <c r="CA44" s="111"/>
      <c r="CB44" s="111"/>
      <c r="CC44" s="111"/>
      <c r="CD44" s="111"/>
      <c r="CE44" s="111"/>
    </row>
    <row r="45" spans="1:94" s="109" customFormat="1" ht="13.8" x14ac:dyDescent="0.25">
      <c r="A45" s="111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111"/>
      <c r="CA45" s="111"/>
      <c r="CB45" s="111"/>
      <c r="CC45" s="111"/>
      <c r="CD45" s="111"/>
      <c r="CE45" s="111"/>
    </row>
    <row r="46" spans="1:94" s="109" customFormat="1" ht="13.8" x14ac:dyDescent="0.25">
      <c r="A46" s="111"/>
      <c r="B46" s="265" t="s">
        <v>140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1" t="s">
        <v>1</v>
      </c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 t="s">
        <v>1</v>
      </c>
      <c r="AV46" s="261"/>
      <c r="AW46" s="261"/>
      <c r="AX46" s="261"/>
      <c r="AY46" s="261"/>
      <c r="AZ46" s="261"/>
      <c r="BA46" s="261"/>
      <c r="BB46" s="261"/>
      <c r="BC46" s="261"/>
      <c r="BD46" s="261" t="s">
        <v>1</v>
      </c>
      <c r="BE46" s="261"/>
      <c r="BF46" s="261"/>
      <c r="BG46" s="261"/>
      <c r="BH46" s="261"/>
      <c r="BI46" s="261"/>
      <c r="BJ46" s="261"/>
      <c r="BK46" s="261"/>
      <c r="BL46" s="261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111"/>
      <c r="CA46" s="111"/>
      <c r="CB46" s="111"/>
      <c r="CC46" s="111"/>
      <c r="CD46" s="111"/>
      <c r="CE46" s="111"/>
    </row>
    <row r="47" spans="1:94" s="109" customFormat="1" ht="12" customHeight="1" x14ac:dyDescent="0.25"/>
    <row r="48" spans="1:94" s="107" customFormat="1" ht="13.8" x14ac:dyDescent="0.25">
      <c r="A48" s="338" t="s">
        <v>141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</row>
    <row r="49" spans="1:83" s="109" customFormat="1" ht="13.8" x14ac:dyDescent="0.25">
      <c r="A49" s="338" t="s">
        <v>142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</row>
    <row r="50" spans="1:83" s="109" customFormat="1" ht="12.75" customHeight="1" x14ac:dyDescent="0.25"/>
    <row r="51" spans="1:83" s="109" customFormat="1" ht="13.8" x14ac:dyDescent="0.25">
      <c r="A51" s="276" t="s">
        <v>56</v>
      </c>
      <c r="B51" s="269" t="s">
        <v>143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2"/>
      <c r="BB51" s="292" t="s">
        <v>144</v>
      </c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4"/>
      <c r="BN51" s="292" t="s">
        <v>145</v>
      </c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4"/>
      <c r="BZ51" s="261" t="s">
        <v>61</v>
      </c>
      <c r="CA51" s="261"/>
      <c r="CB51" s="261"/>
      <c r="CC51" s="261"/>
      <c r="CD51" s="261"/>
      <c r="CE51" s="261"/>
    </row>
    <row r="52" spans="1:83" s="109" customFormat="1" ht="81.75" customHeight="1" x14ac:dyDescent="0.25">
      <c r="A52" s="277"/>
      <c r="B52" s="285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4"/>
      <c r="BB52" s="295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7"/>
      <c r="BN52" s="295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7"/>
      <c r="BZ52" s="327" t="s">
        <v>66</v>
      </c>
      <c r="CA52" s="327"/>
      <c r="CB52" s="347" t="s">
        <v>67</v>
      </c>
      <c r="CC52" s="348"/>
      <c r="CD52" s="349"/>
      <c r="CE52" s="328" t="s">
        <v>68</v>
      </c>
    </row>
    <row r="53" spans="1:83" s="109" customFormat="1" ht="12.75" customHeight="1" x14ac:dyDescent="0.25">
      <c r="A53" s="277"/>
      <c r="B53" s="285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4"/>
      <c r="BB53" s="295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7"/>
      <c r="BN53" s="295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7"/>
      <c r="BZ53" s="331" t="s">
        <v>69</v>
      </c>
      <c r="CA53" s="331" t="s">
        <v>70</v>
      </c>
      <c r="CB53" s="332" t="s">
        <v>71</v>
      </c>
      <c r="CC53" s="331" t="s">
        <v>69</v>
      </c>
      <c r="CD53" s="331" t="s">
        <v>70</v>
      </c>
      <c r="CE53" s="329"/>
    </row>
    <row r="54" spans="1:83" s="109" customFormat="1" ht="13.8" x14ac:dyDescent="0.25">
      <c r="A54" s="278"/>
      <c r="B54" s="270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6"/>
      <c r="BB54" s="298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300"/>
      <c r="BN54" s="298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300"/>
      <c r="BZ54" s="331"/>
      <c r="CA54" s="331"/>
      <c r="CB54" s="333"/>
      <c r="CC54" s="331"/>
      <c r="CD54" s="331"/>
      <c r="CE54" s="330"/>
    </row>
    <row r="55" spans="1:83" s="109" customFormat="1" ht="13.8" x14ac:dyDescent="0.25">
      <c r="A55" s="110">
        <v>1</v>
      </c>
      <c r="B55" s="246">
        <v>2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61">
        <v>3</v>
      </c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46">
        <v>4</v>
      </c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77">
        <v>5</v>
      </c>
      <c r="CA55" s="77">
        <v>6</v>
      </c>
      <c r="CB55" s="77"/>
      <c r="CC55" s="77">
        <v>7</v>
      </c>
      <c r="CD55" s="77">
        <v>8</v>
      </c>
      <c r="CE55" s="77">
        <v>9</v>
      </c>
    </row>
    <row r="56" spans="1:83" s="109" customFormat="1" ht="13.8" x14ac:dyDescent="0.25">
      <c r="A56" s="124">
        <v>1</v>
      </c>
      <c r="B56" s="313" t="s">
        <v>146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5"/>
      <c r="BB56" s="261" t="s">
        <v>1</v>
      </c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111"/>
      <c r="CA56" s="111"/>
      <c r="CB56" s="111"/>
      <c r="CC56" s="111"/>
      <c r="CD56" s="111"/>
      <c r="CE56" s="111"/>
    </row>
    <row r="57" spans="1:83" s="109" customFormat="1" ht="13.8" x14ac:dyDescent="0.25">
      <c r="A57" s="269" t="s">
        <v>147</v>
      </c>
      <c r="B57" s="272" t="s">
        <v>0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4"/>
      <c r="BB57" s="318">
        <v>44171486.18</v>
      </c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20"/>
      <c r="BN57" s="318">
        <f>(BB57*22/100)/12*12</f>
        <v>9717726.9595999997</v>
      </c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20"/>
      <c r="BZ57" s="334"/>
      <c r="CA57" s="334">
        <f>BN57</f>
        <v>9717726.9595999997</v>
      </c>
      <c r="CB57" s="267"/>
      <c r="CC57" s="267"/>
      <c r="CD57" s="334"/>
      <c r="CE57" s="267"/>
    </row>
    <row r="58" spans="1:83" s="109" customFormat="1" ht="13.8" x14ac:dyDescent="0.25">
      <c r="A58" s="285"/>
      <c r="B58" s="262" t="s">
        <v>148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4"/>
      <c r="BB58" s="324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6"/>
      <c r="BN58" s="324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6"/>
      <c r="BZ58" s="336"/>
      <c r="CA58" s="336"/>
      <c r="CB58" s="268"/>
      <c r="CC58" s="268"/>
      <c r="CD58" s="336"/>
      <c r="CE58" s="268"/>
    </row>
    <row r="59" spans="1:83" s="109" customFormat="1" ht="13.8" x14ac:dyDescent="0.25">
      <c r="A59" s="117"/>
      <c r="B59" s="307" t="s">
        <v>148</v>
      </c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9"/>
      <c r="BB59" s="255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7"/>
      <c r="BN59" s="255">
        <f>BB59*22/100</f>
        <v>0</v>
      </c>
      <c r="BO59" s="310"/>
      <c r="BP59" s="310"/>
      <c r="BQ59" s="310"/>
      <c r="BR59" s="310"/>
      <c r="BS59" s="310"/>
      <c r="BT59" s="310"/>
      <c r="BU59" s="310"/>
      <c r="BV59" s="310"/>
      <c r="BW59" s="310"/>
      <c r="BX59" s="310"/>
      <c r="BY59" s="311"/>
      <c r="BZ59" s="77"/>
      <c r="CA59" s="126"/>
      <c r="CB59" s="125"/>
      <c r="CC59" s="77"/>
      <c r="CD59" s="77"/>
      <c r="CE59" s="126">
        <f>BN59</f>
        <v>0</v>
      </c>
    </row>
    <row r="60" spans="1:83" s="109" customFormat="1" ht="13.8" x14ac:dyDescent="0.25">
      <c r="A60" s="124" t="s">
        <v>149</v>
      </c>
      <c r="B60" s="307" t="s">
        <v>150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9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111"/>
      <c r="CA60" s="111"/>
      <c r="CB60" s="111"/>
      <c r="CC60" s="111"/>
      <c r="CD60" s="111"/>
      <c r="CE60" s="111"/>
    </row>
    <row r="61" spans="1:83" s="109" customFormat="1" ht="13.8" x14ac:dyDescent="0.25">
      <c r="A61" s="117"/>
      <c r="B61" s="307" t="s">
        <v>148</v>
      </c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9"/>
      <c r="BB61" s="255"/>
      <c r="BC61" s="316"/>
      <c r="BD61" s="316"/>
      <c r="BE61" s="316"/>
      <c r="BF61" s="316"/>
      <c r="BG61" s="316"/>
      <c r="BH61" s="316"/>
      <c r="BI61" s="316"/>
      <c r="BJ61" s="316"/>
      <c r="BK61" s="316"/>
      <c r="BL61" s="316"/>
      <c r="BM61" s="317"/>
      <c r="BN61" s="255">
        <f>BB61*22/100</f>
        <v>0</v>
      </c>
      <c r="BO61" s="310"/>
      <c r="BP61" s="310"/>
      <c r="BQ61" s="310"/>
      <c r="BR61" s="310"/>
      <c r="BS61" s="310"/>
      <c r="BT61" s="310"/>
      <c r="BU61" s="310"/>
      <c r="BV61" s="310"/>
      <c r="BW61" s="310"/>
      <c r="BX61" s="310"/>
      <c r="BY61" s="311"/>
      <c r="BZ61" s="77"/>
      <c r="CA61" s="126">
        <f>BN61</f>
        <v>0</v>
      </c>
      <c r="CB61" s="125"/>
      <c r="CC61" s="77"/>
      <c r="CD61" s="77"/>
      <c r="CE61" s="77"/>
    </row>
    <row r="62" spans="1:83" s="109" customFormat="1" ht="13.8" x14ac:dyDescent="0.25">
      <c r="A62" s="124" t="s">
        <v>149</v>
      </c>
      <c r="B62" s="307" t="s">
        <v>150</v>
      </c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9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111"/>
      <c r="CA62" s="111"/>
      <c r="CB62" s="111"/>
      <c r="CC62" s="111"/>
      <c r="CD62" s="111"/>
      <c r="CE62" s="111"/>
    </row>
    <row r="63" spans="1:83" s="109" customFormat="1" ht="13.8" x14ac:dyDescent="0.25">
      <c r="A63" s="269" t="s">
        <v>151</v>
      </c>
      <c r="B63" s="272" t="s">
        <v>152</v>
      </c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4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1"/>
      <c r="CA63" s="261"/>
      <c r="CB63" s="267"/>
      <c r="CC63" s="261"/>
      <c r="CD63" s="261"/>
      <c r="CE63" s="261"/>
    </row>
    <row r="64" spans="1:83" s="109" customFormat="1" ht="13.8" x14ac:dyDescent="0.25">
      <c r="A64" s="270"/>
      <c r="B64" s="262" t="s">
        <v>153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4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1"/>
      <c r="CA64" s="261"/>
      <c r="CB64" s="268"/>
      <c r="CC64" s="261"/>
      <c r="CD64" s="261"/>
      <c r="CE64" s="261"/>
    </row>
    <row r="65" spans="1:83" s="109" customFormat="1" ht="13.8" x14ac:dyDescent="0.25">
      <c r="A65" s="269">
        <v>2</v>
      </c>
      <c r="B65" s="282" t="s">
        <v>154</v>
      </c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4"/>
      <c r="BB65" s="261" t="s">
        <v>1</v>
      </c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1"/>
      <c r="CA65" s="261"/>
      <c r="CB65" s="267"/>
      <c r="CC65" s="261"/>
      <c r="CD65" s="261"/>
      <c r="CE65" s="261"/>
    </row>
    <row r="66" spans="1:83" s="109" customFormat="1" ht="13.8" x14ac:dyDescent="0.25">
      <c r="A66" s="270"/>
      <c r="B66" s="313" t="s">
        <v>155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5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1"/>
      <c r="CA66" s="261"/>
      <c r="CB66" s="268"/>
      <c r="CC66" s="261"/>
      <c r="CD66" s="261"/>
      <c r="CE66" s="261"/>
    </row>
    <row r="67" spans="1:83" s="109" customFormat="1" ht="13.8" x14ac:dyDescent="0.25">
      <c r="A67" s="269" t="s">
        <v>156</v>
      </c>
      <c r="B67" s="272" t="s">
        <v>0</v>
      </c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4"/>
      <c r="BB67" s="271">
        <f>BB57</f>
        <v>44171486.18</v>
      </c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>
        <f>(BB67*2.9/100)/12*12</f>
        <v>1280973.09922</v>
      </c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66"/>
      <c r="CA67" s="266">
        <f>BN67</f>
        <v>1280973.09922</v>
      </c>
      <c r="CB67" s="267"/>
      <c r="CC67" s="261"/>
      <c r="CD67" s="266"/>
      <c r="CE67" s="261"/>
    </row>
    <row r="68" spans="1:83" s="109" customFormat="1" ht="13.8" x14ac:dyDescent="0.25">
      <c r="A68" s="285"/>
      <c r="B68" s="279" t="s">
        <v>157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61"/>
      <c r="CA68" s="261"/>
      <c r="CB68" s="275"/>
      <c r="CC68" s="261"/>
      <c r="CD68" s="266"/>
      <c r="CE68" s="261"/>
    </row>
    <row r="69" spans="1:83" s="109" customFormat="1" ht="13.8" x14ac:dyDescent="0.25">
      <c r="A69" s="270"/>
      <c r="B69" s="262" t="s">
        <v>158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4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61"/>
      <c r="CA69" s="261"/>
      <c r="CB69" s="268"/>
      <c r="CC69" s="261"/>
      <c r="CD69" s="266"/>
      <c r="CE69" s="261"/>
    </row>
    <row r="70" spans="1:83" s="109" customFormat="1" ht="13.8" x14ac:dyDescent="0.25">
      <c r="A70" s="276" t="s">
        <v>156</v>
      </c>
      <c r="B70" s="272" t="s">
        <v>0</v>
      </c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4"/>
      <c r="BB70" s="271">
        <f>BB59</f>
        <v>0</v>
      </c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318">
        <f>BB70*2.9/100</f>
        <v>0</v>
      </c>
      <c r="BO70" s="319"/>
      <c r="BP70" s="319"/>
      <c r="BQ70" s="319"/>
      <c r="BR70" s="319"/>
      <c r="BS70" s="319"/>
      <c r="BT70" s="319"/>
      <c r="BU70" s="319"/>
      <c r="BV70" s="319"/>
      <c r="BW70" s="319"/>
      <c r="BX70" s="319"/>
      <c r="BY70" s="320"/>
      <c r="BZ70" s="267"/>
      <c r="CA70" s="334"/>
      <c r="CB70" s="267"/>
      <c r="CC70" s="267"/>
      <c r="CD70" s="267"/>
      <c r="CE70" s="334">
        <f>BN70</f>
        <v>0</v>
      </c>
    </row>
    <row r="71" spans="1:83" s="109" customFormat="1" ht="13.8" x14ac:dyDescent="0.25">
      <c r="A71" s="277"/>
      <c r="B71" s="279" t="s">
        <v>157</v>
      </c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321"/>
      <c r="BO71" s="322"/>
      <c r="BP71" s="322"/>
      <c r="BQ71" s="322"/>
      <c r="BR71" s="322"/>
      <c r="BS71" s="322"/>
      <c r="BT71" s="322"/>
      <c r="BU71" s="322"/>
      <c r="BV71" s="322"/>
      <c r="BW71" s="322"/>
      <c r="BX71" s="322"/>
      <c r="BY71" s="323"/>
      <c r="BZ71" s="275"/>
      <c r="CA71" s="335"/>
      <c r="CB71" s="275"/>
      <c r="CC71" s="275"/>
      <c r="CD71" s="275"/>
      <c r="CE71" s="275"/>
    </row>
    <row r="72" spans="1:83" s="109" customFormat="1" ht="13.8" x14ac:dyDescent="0.25">
      <c r="A72" s="278"/>
      <c r="B72" s="262" t="s">
        <v>158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4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324"/>
      <c r="BO72" s="325"/>
      <c r="BP72" s="325"/>
      <c r="BQ72" s="325"/>
      <c r="BR72" s="325"/>
      <c r="BS72" s="325"/>
      <c r="BT72" s="325"/>
      <c r="BU72" s="325"/>
      <c r="BV72" s="325"/>
      <c r="BW72" s="325"/>
      <c r="BX72" s="325"/>
      <c r="BY72" s="326"/>
      <c r="BZ72" s="268"/>
      <c r="CA72" s="336"/>
      <c r="CB72" s="268"/>
      <c r="CC72" s="268"/>
      <c r="CD72" s="268"/>
      <c r="CE72" s="268"/>
    </row>
    <row r="73" spans="1:83" s="109" customFormat="1" ht="12.75" customHeight="1" x14ac:dyDescent="0.25">
      <c r="A73" s="276" t="s">
        <v>156</v>
      </c>
      <c r="B73" s="272" t="s">
        <v>0</v>
      </c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4"/>
      <c r="BB73" s="271">
        <v>0</v>
      </c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318">
        <f>BB73*2.9/100</f>
        <v>0</v>
      </c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20"/>
      <c r="BZ73" s="267"/>
      <c r="CA73" s="334">
        <f>BN73</f>
        <v>0</v>
      </c>
      <c r="CB73" s="267"/>
      <c r="CC73" s="267"/>
      <c r="CD73" s="267"/>
      <c r="CE73" s="267"/>
    </row>
    <row r="74" spans="1:83" s="109" customFormat="1" ht="13.8" x14ac:dyDescent="0.25">
      <c r="A74" s="277"/>
      <c r="B74" s="279" t="s">
        <v>157</v>
      </c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321"/>
      <c r="BO74" s="322"/>
      <c r="BP74" s="322"/>
      <c r="BQ74" s="322"/>
      <c r="BR74" s="322"/>
      <c r="BS74" s="322"/>
      <c r="BT74" s="322"/>
      <c r="BU74" s="322"/>
      <c r="BV74" s="322"/>
      <c r="BW74" s="322"/>
      <c r="BX74" s="322"/>
      <c r="BY74" s="323"/>
      <c r="BZ74" s="275"/>
      <c r="CA74" s="335"/>
      <c r="CB74" s="275"/>
      <c r="CC74" s="275"/>
      <c r="CD74" s="275"/>
      <c r="CE74" s="275"/>
    </row>
    <row r="75" spans="1:83" s="109" customFormat="1" ht="12.75" customHeight="1" x14ac:dyDescent="0.25">
      <c r="A75" s="278"/>
      <c r="B75" s="262" t="s">
        <v>158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4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324"/>
      <c r="BO75" s="325"/>
      <c r="BP75" s="325"/>
      <c r="BQ75" s="325"/>
      <c r="BR75" s="325"/>
      <c r="BS75" s="325"/>
      <c r="BT75" s="325"/>
      <c r="BU75" s="325"/>
      <c r="BV75" s="325"/>
      <c r="BW75" s="325"/>
      <c r="BX75" s="325"/>
      <c r="BY75" s="326"/>
      <c r="BZ75" s="268"/>
      <c r="CA75" s="336"/>
      <c r="CB75" s="268"/>
      <c r="CC75" s="268"/>
      <c r="CD75" s="268"/>
      <c r="CE75" s="268"/>
    </row>
    <row r="76" spans="1:83" s="109" customFormat="1" ht="15.6" customHeight="1" x14ac:dyDescent="0.25">
      <c r="A76" s="269" t="s">
        <v>159</v>
      </c>
      <c r="B76" s="272" t="s">
        <v>160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4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1"/>
      <c r="CA76" s="261"/>
      <c r="CB76" s="267"/>
      <c r="CC76" s="261"/>
      <c r="CD76" s="261"/>
      <c r="CE76" s="261"/>
    </row>
    <row r="77" spans="1:83" s="109" customFormat="1" ht="13.8" x14ac:dyDescent="0.25">
      <c r="A77" s="270"/>
      <c r="B77" s="262" t="s">
        <v>161</v>
      </c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4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1"/>
      <c r="CA77" s="261"/>
      <c r="CB77" s="268"/>
      <c r="CC77" s="261"/>
      <c r="CD77" s="261"/>
      <c r="CE77" s="261"/>
    </row>
    <row r="78" spans="1:83" s="109" customFormat="1" ht="13.8" x14ac:dyDescent="0.25">
      <c r="A78" s="269" t="s">
        <v>162</v>
      </c>
      <c r="B78" s="272" t="s">
        <v>163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4"/>
      <c r="BB78" s="271">
        <f>BB57</f>
        <v>44171486.18</v>
      </c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>
        <f>(BB78*0.2/100)/12*12-0.01</f>
        <v>88342.962360000005</v>
      </c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66"/>
      <c r="CA78" s="266">
        <f>BN78</f>
        <v>88342.962360000005</v>
      </c>
      <c r="CB78" s="267"/>
      <c r="CC78" s="261"/>
      <c r="CD78" s="261"/>
      <c r="CE78" s="261"/>
    </row>
    <row r="79" spans="1:83" s="109" customFormat="1" ht="13.8" x14ac:dyDescent="0.25">
      <c r="A79" s="270"/>
      <c r="B79" s="262" t="s">
        <v>164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4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61"/>
      <c r="CA79" s="261"/>
      <c r="CB79" s="268"/>
      <c r="CC79" s="261"/>
      <c r="CD79" s="261"/>
      <c r="CE79" s="261"/>
    </row>
    <row r="80" spans="1:83" s="109" customFormat="1" ht="13.8" x14ac:dyDescent="0.25">
      <c r="A80" s="269" t="s">
        <v>162</v>
      </c>
      <c r="B80" s="272" t="s">
        <v>163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4"/>
      <c r="BB80" s="271">
        <f>BB59</f>
        <v>0</v>
      </c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>
        <f>BB80*0.2/100</f>
        <v>0</v>
      </c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61"/>
      <c r="CA80" s="266"/>
      <c r="CB80" s="267"/>
      <c r="CC80" s="261"/>
      <c r="CD80" s="261"/>
      <c r="CE80" s="266">
        <f>BN80</f>
        <v>0</v>
      </c>
    </row>
    <row r="81" spans="1:83" s="109" customFormat="1" ht="13.8" x14ac:dyDescent="0.25">
      <c r="A81" s="270"/>
      <c r="B81" s="262" t="s">
        <v>164</v>
      </c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4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61"/>
      <c r="CA81" s="261"/>
      <c r="CB81" s="268"/>
      <c r="CC81" s="261"/>
      <c r="CD81" s="261"/>
      <c r="CE81" s="261"/>
    </row>
    <row r="82" spans="1:83" s="109" customFormat="1" ht="27.75" customHeight="1" x14ac:dyDescent="0.25">
      <c r="A82" s="269" t="s">
        <v>162</v>
      </c>
      <c r="B82" s="272" t="s">
        <v>163</v>
      </c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4"/>
      <c r="BB82" s="271">
        <v>0</v>
      </c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>
        <f>BB82*0.2/100</f>
        <v>0</v>
      </c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61"/>
      <c r="CA82" s="266">
        <f>BN82</f>
        <v>0</v>
      </c>
      <c r="CB82" s="267"/>
      <c r="CC82" s="261"/>
      <c r="CD82" s="261"/>
      <c r="CE82" s="261"/>
    </row>
    <row r="83" spans="1:83" s="109" customFormat="1" ht="13.8" x14ac:dyDescent="0.25">
      <c r="A83" s="270"/>
      <c r="B83" s="262" t="s">
        <v>164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4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61"/>
      <c r="CA83" s="261"/>
      <c r="CB83" s="268"/>
      <c r="CC83" s="261"/>
      <c r="CD83" s="261"/>
      <c r="CE83" s="261"/>
    </row>
    <row r="84" spans="1:83" s="109" customFormat="1" ht="13.8" x14ac:dyDescent="0.25">
      <c r="A84" s="269" t="s">
        <v>165</v>
      </c>
      <c r="B84" s="272" t="s">
        <v>163</v>
      </c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4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1"/>
      <c r="CA84" s="261"/>
      <c r="CB84" s="267"/>
      <c r="CC84" s="261"/>
      <c r="CD84" s="261"/>
      <c r="CE84" s="261"/>
    </row>
    <row r="85" spans="1:83" s="109" customFormat="1" ht="16.8" x14ac:dyDescent="0.25">
      <c r="A85" s="270"/>
      <c r="B85" s="262" t="s">
        <v>166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4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1"/>
      <c r="CA85" s="261"/>
      <c r="CB85" s="268"/>
      <c r="CC85" s="261"/>
      <c r="CD85" s="261"/>
      <c r="CE85" s="261"/>
    </row>
    <row r="86" spans="1:83" s="109" customFormat="1" ht="13.8" x14ac:dyDescent="0.25">
      <c r="A86" s="269" t="s">
        <v>167</v>
      </c>
      <c r="B86" s="272" t="s">
        <v>163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4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1"/>
      <c r="CA86" s="261"/>
      <c r="CB86" s="267"/>
      <c r="CC86" s="261"/>
      <c r="CD86" s="261"/>
      <c r="CE86" s="261"/>
    </row>
    <row r="87" spans="1:83" s="109" customFormat="1" ht="16.8" x14ac:dyDescent="0.25">
      <c r="A87" s="270"/>
      <c r="B87" s="262" t="s">
        <v>166</v>
      </c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4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1"/>
      <c r="CA87" s="261"/>
      <c r="CB87" s="268"/>
      <c r="CC87" s="261"/>
      <c r="CD87" s="261"/>
      <c r="CE87" s="261"/>
    </row>
    <row r="88" spans="1:83" s="109" customFormat="1" ht="13.8" x14ac:dyDescent="0.25">
      <c r="A88" s="269">
        <v>3</v>
      </c>
      <c r="B88" s="282" t="s">
        <v>168</v>
      </c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4"/>
      <c r="BB88" s="271">
        <f>BB57</f>
        <v>44171486.18</v>
      </c>
      <c r="BC88" s="271"/>
      <c r="BD88" s="271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>
        <f>(BB88*5.1/100)/12*12</f>
        <v>2252745.7951799999</v>
      </c>
      <c r="BO88" s="271"/>
      <c r="BP88" s="271"/>
      <c r="BQ88" s="271"/>
      <c r="BR88" s="271"/>
      <c r="BS88" s="271"/>
      <c r="BT88" s="271"/>
      <c r="BU88" s="271"/>
      <c r="BV88" s="271"/>
      <c r="BW88" s="271"/>
      <c r="BX88" s="271"/>
      <c r="BY88" s="271"/>
      <c r="BZ88" s="266"/>
      <c r="CA88" s="266">
        <f>BN88</f>
        <v>2252745.7951799999</v>
      </c>
      <c r="CB88" s="267"/>
      <c r="CC88" s="261"/>
      <c r="CD88" s="266"/>
      <c r="CE88" s="261"/>
    </row>
    <row r="89" spans="1:83" s="109" customFormat="1" ht="13.8" x14ac:dyDescent="0.25">
      <c r="A89" s="270"/>
      <c r="B89" s="313" t="s">
        <v>169</v>
      </c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5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261"/>
      <c r="CA89" s="261"/>
      <c r="CB89" s="268"/>
      <c r="CC89" s="261"/>
      <c r="CD89" s="266"/>
      <c r="CE89" s="261"/>
    </row>
    <row r="90" spans="1:83" s="109" customFormat="1" ht="13.8" x14ac:dyDescent="0.25">
      <c r="A90" s="269">
        <v>3</v>
      </c>
      <c r="B90" s="282" t="s">
        <v>168</v>
      </c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4"/>
      <c r="BB90" s="271">
        <f>BB59</f>
        <v>0</v>
      </c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>
        <f>BB90*5.1/100</f>
        <v>0</v>
      </c>
      <c r="BO90" s="271"/>
      <c r="BP90" s="271"/>
      <c r="BQ90" s="271"/>
      <c r="BR90" s="271"/>
      <c r="BS90" s="271"/>
      <c r="BT90" s="271"/>
      <c r="BU90" s="271"/>
      <c r="BV90" s="271"/>
      <c r="BW90" s="271"/>
      <c r="BX90" s="271"/>
      <c r="BY90" s="271"/>
      <c r="BZ90" s="261"/>
      <c r="CA90" s="266"/>
      <c r="CB90" s="267"/>
      <c r="CC90" s="261"/>
      <c r="CD90" s="261"/>
      <c r="CE90" s="266">
        <f>BN90</f>
        <v>0</v>
      </c>
    </row>
    <row r="91" spans="1:83" s="109" customFormat="1" ht="13.8" x14ac:dyDescent="0.25">
      <c r="A91" s="270"/>
      <c r="B91" s="313" t="s">
        <v>169</v>
      </c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4"/>
      <c r="AL91" s="314"/>
      <c r="AM91" s="314"/>
      <c r="AN91" s="314"/>
      <c r="AO91" s="314"/>
      <c r="AP91" s="314"/>
      <c r="AQ91" s="314"/>
      <c r="AR91" s="314"/>
      <c r="AS91" s="314"/>
      <c r="AT91" s="314"/>
      <c r="AU91" s="314"/>
      <c r="AV91" s="314"/>
      <c r="AW91" s="314"/>
      <c r="AX91" s="314"/>
      <c r="AY91" s="314"/>
      <c r="AZ91" s="314"/>
      <c r="BA91" s="315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61"/>
      <c r="CA91" s="261"/>
      <c r="CB91" s="268"/>
      <c r="CC91" s="261"/>
      <c r="CD91" s="261"/>
      <c r="CE91" s="261"/>
    </row>
    <row r="92" spans="1:83" s="109" customFormat="1" ht="13.8" x14ac:dyDescent="0.25">
      <c r="A92" s="269">
        <v>3</v>
      </c>
      <c r="B92" s="282" t="s">
        <v>168</v>
      </c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4"/>
      <c r="BB92" s="271">
        <v>0</v>
      </c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>
        <f>BB92*5.1/100</f>
        <v>0</v>
      </c>
      <c r="BO92" s="271"/>
      <c r="BP92" s="271"/>
      <c r="BQ92" s="271"/>
      <c r="BR92" s="271"/>
      <c r="BS92" s="271"/>
      <c r="BT92" s="271"/>
      <c r="BU92" s="271"/>
      <c r="BV92" s="271"/>
      <c r="BW92" s="271"/>
      <c r="BX92" s="271"/>
      <c r="BY92" s="271"/>
      <c r="BZ92" s="261"/>
      <c r="CA92" s="266">
        <f>BN92</f>
        <v>0</v>
      </c>
      <c r="CB92" s="267"/>
      <c r="CC92" s="261"/>
      <c r="CD92" s="261"/>
      <c r="CE92" s="261"/>
    </row>
    <row r="93" spans="1:83" s="109" customFormat="1" ht="13.8" x14ac:dyDescent="0.25">
      <c r="A93" s="270"/>
      <c r="B93" s="313" t="s">
        <v>169</v>
      </c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  <c r="AU93" s="314"/>
      <c r="AV93" s="314"/>
      <c r="AW93" s="314"/>
      <c r="AX93" s="314"/>
      <c r="AY93" s="314"/>
      <c r="AZ93" s="314"/>
      <c r="BA93" s="315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61"/>
      <c r="CA93" s="261"/>
      <c r="CB93" s="268"/>
      <c r="CC93" s="261"/>
      <c r="CD93" s="261"/>
      <c r="CE93" s="261"/>
    </row>
    <row r="94" spans="1:83" s="109" customFormat="1" ht="13.8" x14ac:dyDescent="0.25">
      <c r="A94" s="118"/>
      <c r="B94" s="351" t="s">
        <v>170</v>
      </c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3"/>
      <c r="BB94" s="261" t="s">
        <v>1</v>
      </c>
      <c r="BC94" s="261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90">
        <f>BN57+BN59+BN61+BN67+BN70+BN73+BN78+BN80+BN82+BN88+BN90+BN92</f>
        <v>13339788.816360001</v>
      </c>
      <c r="BO94" s="291"/>
      <c r="BP94" s="291"/>
      <c r="BQ94" s="291"/>
      <c r="BR94" s="291"/>
      <c r="BS94" s="291"/>
      <c r="BT94" s="291"/>
      <c r="BU94" s="291"/>
      <c r="BV94" s="291"/>
      <c r="BW94" s="291"/>
      <c r="BX94" s="291"/>
      <c r="BY94" s="291"/>
      <c r="BZ94" s="127">
        <f>BZ57+BZ67+BZ78+BZ88</f>
        <v>0</v>
      </c>
      <c r="CA94" s="127">
        <f>CA57+CA67+CA78+CA88</f>
        <v>13339788.816360001</v>
      </c>
      <c r="CB94" s="111"/>
      <c r="CC94" s="111"/>
      <c r="CD94" s="114">
        <f>CD88+CD78+CD67+CD57</f>
        <v>0</v>
      </c>
      <c r="CE94" s="127">
        <f>CE59+CE70+CE80+CE90</f>
        <v>0</v>
      </c>
    </row>
    <row r="95" spans="1:83" x14ac:dyDescent="0.2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</row>
    <row r="96" spans="1:83" x14ac:dyDescent="0.25">
      <c r="A96" s="350" t="s">
        <v>171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50"/>
      <c r="BE96" s="350"/>
      <c r="BF96" s="350"/>
      <c r="BG96" s="350"/>
      <c r="BH96" s="350"/>
      <c r="BI96" s="350"/>
      <c r="BJ96" s="350"/>
      <c r="BK96" s="350"/>
      <c r="BL96" s="350"/>
      <c r="BM96" s="350"/>
      <c r="BN96" s="350"/>
      <c r="BO96" s="350"/>
      <c r="BP96" s="350"/>
      <c r="BQ96" s="350"/>
      <c r="BR96" s="350"/>
      <c r="BS96" s="350"/>
      <c r="BT96" s="350"/>
      <c r="BU96" s="350"/>
      <c r="BV96" s="350"/>
      <c r="BW96" s="350"/>
      <c r="BX96" s="350"/>
      <c r="BY96" s="350"/>
      <c r="BZ96" s="129"/>
      <c r="CA96" s="129"/>
      <c r="CB96" s="129"/>
      <c r="CC96" s="129"/>
      <c r="CD96" s="129"/>
      <c r="CE96" s="129"/>
    </row>
    <row r="97" spans="1:83" x14ac:dyDescent="0.25">
      <c r="A97" s="350"/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50"/>
      <c r="AP97" s="350"/>
      <c r="AQ97" s="350"/>
      <c r="AR97" s="350"/>
      <c r="AS97" s="350"/>
      <c r="AT97" s="350"/>
      <c r="AU97" s="350"/>
      <c r="AV97" s="350"/>
      <c r="AW97" s="350"/>
      <c r="AX97" s="350"/>
      <c r="AY97" s="350"/>
      <c r="AZ97" s="350"/>
      <c r="BA97" s="350"/>
      <c r="BB97" s="350"/>
      <c r="BC97" s="350"/>
      <c r="BD97" s="350"/>
      <c r="BE97" s="350"/>
      <c r="BF97" s="350"/>
      <c r="BG97" s="350"/>
      <c r="BH97" s="350"/>
      <c r="BI97" s="350"/>
      <c r="BJ97" s="350"/>
      <c r="BK97" s="350"/>
      <c r="BL97" s="350"/>
      <c r="BM97" s="350"/>
      <c r="BN97" s="350"/>
      <c r="BO97" s="350"/>
      <c r="BP97" s="350"/>
      <c r="BQ97" s="350"/>
      <c r="BR97" s="350"/>
      <c r="BS97" s="350"/>
      <c r="BT97" s="350"/>
      <c r="BU97" s="350"/>
      <c r="BV97" s="350"/>
      <c r="BW97" s="350"/>
      <c r="BX97" s="350"/>
      <c r="BY97" s="350"/>
      <c r="BZ97" s="129"/>
      <c r="CA97" s="129"/>
      <c r="CB97" s="129"/>
      <c r="CC97" s="129"/>
      <c r="CD97" s="129"/>
      <c r="CE97" s="129"/>
    </row>
    <row r="98" spans="1:83" x14ac:dyDescent="0.25">
      <c r="A98" s="350"/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M98" s="350"/>
      <c r="AN98" s="350"/>
      <c r="AO98" s="350"/>
      <c r="AP98" s="350"/>
      <c r="AQ98" s="350"/>
      <c r="AR98" s="350"/>
      <c r="AS98" s="350"/>
      <c r="AT98" s="350"/>
      <c r="AU98" s="350"/>
      <c r="AV98" s="350"/>
      <c r="AW98" s="350"/>
      <c r="AX98" s="350"/>
      <c r="AY98" s="350"/>
      <c r="AZ98" s="350"/>
      <c r="BA98" s="350"/>
      <c r="BB98" s="350"/>
      <c r="BC98" s="350"/>
      <c r="BD98" s="350"/>
      <c r="BE98" s="350"/>
      <c r="BF98" s="350"/>
      <c r="BG98" s="350"/>
      <c r="BH98" s="350"/>
      <c r="BI98" s="350"/>
      <c r="BJ98" s="350"/>
      <c r="BK98" s="350"/>
      <c r="BL98" s="350"/>
      <c r="BM98" s="350"/>
      <c r="BN98" s="350"/>
      <c r="BO98" s="350"/>
      <c r="BP98" s="350"/>
      <c r="BQ98" s="350"/>
      <c r="BR98" s="350"/>
      <c r="BS98" s="350"/>
      <c r="BT98" s="350"/>
      <c r="BU98" s="350"/>
      <c r="BV98" s="350"/>
      <c r="BW98" s="350"/>
      <c r="BX98" s="350"/>
      <c r="BY98" s="350"/>
      <c r="BZ98" s="129"/>
      <c r="CA98" s="129"/>
      <c r="CB98" s="129"/>
      <c r="CC98" s="129"/>
      <c r="CD98" s="129"/>
      <c r="CE98" s="129"/>
    </row>
  </sheetData>
  <mergeCells count="345">
    <mergeCell ref="B70:BA70"/>
    <mergeCell ref="BN51:BY54"/>
    <mergeCell ref="CB52:CD52"/>
    <mergeCell ref="CE70:CE72"/>
    <mergeCell ref="BN70:BY72"/>
    <mergeCell ref="CC73:CC75"/>
    <mergeCell ref="CE78:CE79"/>
    <mergeCell ref="CE73:CE75"/>
    <mergeCell ref="BZ78:BZ79"/>
    <mergeCell ref="BZ73:BZ75"/>
    <mergeCell ref="BZ70:BZ72"/>
    <mergeCell ref="CA70:CA72"/>
    <mergeCell ref="CB70:CB72"/>
    <mergeCell ref="CA53:CA54"/>
    <mergeCell ref="CD57:CD58"/>
    <mergeCell ref="CB57:CB58"/>
    <mergeCell ref="BZ90:BZ91"/>
    <mergeCell ref="CA90:CA91"/>
    <mergeCell ref="CB90:CB91"/>
    <mergeCell ref="CB80:CB81"/>
    <mergeCell ref="CB76:CB77"/>
    <mergeCell ref="CB78:CB79"/>
    <mergeCell ref="CB84:CB85"/>
    <mergeCell ref="BZ76:BZ77"/>
    <mergeCell ref="CD90:CD91"/>
    <mergeCell ref="CB86:CB87"/>
    <mergeCell ref="CB88:CB89"/>
    <mergeCell ref="BZ80:BZ81"/>
    <mergeCell ref="CA80:CA81"/>
    <mergeCell ref="CC80:CC81"/>
    <mergeCell ref="CD80:CD81"/>
    <mergeCell ref="CC90:CC91"/>
    <mergeCell ref="CA88:CA89"/>
    <mergeCell ref="A51:A54"/>
    <mergeCell ref="BB63:BM64"/>
    <mergeCell ref="BB51:BM54"/>
    <mergeCell ref="BB70:BM72"/>
    <mergeCell ref="A65:A66"/>
    <mergeCell ref="B72:BA72"/>
    <mergeCell ref="A11:AF11"/>
    <mergeCell ref="CB4:CD4"/>
    <mergeCell ref="CB5:CB6"/>
    <mergeCell ref="CB18:CD18"/>
    <mergeCell ref="CB19:CB20"/>
    <mergeCell ref="CB28:CD28"/>
    <mergeCell ref="A23:AF23"/>
    <mergeCell ref="AU8:BC8"/>
    <mergeCell ref="BB23:BL23"/>
    <mergeCell ref="BD8:BL8"/>
    <mergeCell ref="A9:AF9"/>
    <mergeCell ref="BN63:BY64"/>
    <mergeCell ref="CC53:CC54"/>
    <mergeCell ref="CD53:CD54"/>
    <mergeCell ref="BZ57:BZ58"/>
    <mergeCell ref="BN59:BY59"/>
    <mergeCell ref="CA57:CA58"/>
    <mergeCell ref="CC57:CC58"/>
    <mergeCell ref="A96:BY98"/>
    <mergeCell ref="BN84:BY85"/>
    <mergeCell ref="A86:A87"/>
    <mergeCell ref="BB86:BM87"/>
    <mergeCell ref="BN86:BY87"/>
    <mergeCell ref="B84:BA84"/>
    <mergeCell ref="B94:BA94"/>
    <mergeCell ref="BB94:BM94"/>
    <mergeCell ref="BN94:BY94"/>
    <mergeCell ref="A90:A91"/>
    <mergeCell ref="B90:BA90"/>
    <mergeCell ref="BB90:BM91"/>
    <mergeCell ref="BN90:BY91"/>
    <mergeCell ref="B91:BA91"/>
    <mergeCell ref="BN88:BY89"/>
    <mergeCell ref="B93:BA93"/>
    <mergeCell ref="B76:BA76"/>
    <mergeCell ref="BB67:BM69"/>
    <mergeCell ref="A67:A69"/>
    <mergeCell ref="A76:A77"/>
    <mergeCell ref="BB76:BM77"/>
    <mergeCell ref="B77:BA77"/>
    <mergeCell ref="B67:BA67"/>
    <mergeCell ref="B88:BA88"/>
    <mergeCell ref="A88:A89"/>
    <mergeCell ref="B89:BA89"/>
    <mergeCell ref="BB88:BM89"/>
    <mergeCell ref="B85:BA85"/>
    <mergeCell ref="B86:BA86"/>
    <mergeCell ref="A84:A85"/>
    <mergeCell ref="BB84:BM85"/>
    <mergeCell ref="B87:BA87"/>
    <mergeCell ref="B74:BA74"/>
    <mergeCell ref="BB80:BM81"/>
    <mergeCell ref="A70:A72"/>
    <mergeCell ref="B79:BA79"/>
    <mergeCell ref="BN78:BY79"/>
    <mergeCell ref="BN76:BY77"/>
    <mergeCell ref="BZ39:CE39"/>
    <mergeCell ref="A48:CE48"/>
    <mergeCell ref="CB40:CD40"/>
    <mergeCell ref="CB41:CB42"/>
    <mergeCell ref="BD43:BL43"/>
    <mergeCell ref="B44:AF44"/>
    <mergeCell ref="BM43:BY43"/>
    <mergeCell ref="AU44:BC44"/>
    <mergeCell ref="BD45:BL45"/>
    <mergeCell ref="BM45:BY45"/>
    <mergeCell ref="B43:AF43"/>
    <mergeCell ref="AG43:AT43"/>
    <mergeCell ref="BM39:BY42"/>
    <mergeCell ref="BM46:BY46"/>
    <mergeCell ref="BM35:BY35"/>
    <mergeCell ref="AG45:AT45"/>
    <mergeCell ref="AU43:BC43"/>
    <mergeCell ref="AG44:AT44"/>
    <mergeCell ref="AU45:BC45"/>
    <mergeCell ref="BN60:BY60"/>
    <mergeCell ref="B68:BA68"/>
    <mergeCell ref="B56:BA56"/>
    <mergeCell ref="BB56:BM56"/>
    <mergeCell ref="BN56:BY56"/>
    <mergeCell ref="BN55:BY55"/>
    <mergeCell ref="BN57:BY58"/>
    <mergeCell ref="B58:BA58"/>
    <mergeCell ref="B60:BA60"/>
    <mergeCell ref="BB60:BM60"/>
    <mergeCell ref="BB57:BM58"/>
    <mergeCell ref="B59:BA59"/>
    <mergeCell ref="BB59:BM59"/>
    <mergeCell ref="B51:BA54"/>
    <mergeCell ref="CA29:CA30"/>
    <mergeCell ref="AR23:BA23"/>
    <mergeCell ref="BB31:BL31"/>
    <mergeCell ref="AG32:BA32"/>
    <mergeCell ref="BB32:BL32"/>
    <mergeCell ref="BB27:BL30"/>
    <mergeCell ref="AG27:BA30"/>
    <mergeCell ref="AG31:BA31"/>
    <mergeCell ref="A35:AF35"/>
    <mergeCell ref="B33:AF33"/>
    <mergeCell ref="AG33:BA33"/>
    <mergeCell ref="BB33:BL33"/>
    <mergeCell ref="BM33:BY33"/>
    <mergeCell ref="BZ27:CE27"/>
    <mergeCell ref="BZ28:CA28"/>
    <mergeCell ref="BZ19:BZ20"/>
    <mergeCell ref="CA19:CA20"/>
    <mergeCell ref="CC19:CC20"/>
    <mergeCell ref="CD19:CD20"/>
    <mergeCell ref="AG8:AT8"/>
    <mergeCell ref="A17:A20"/>
    <mergeCell ref="A49:CE49"/>
    <mergeCell ref="A37:CE37"/>
    <mergeCell ref="A39:A42"/>
    <mergeCell ref="B39:AF42"/>
    <mergeCell ref="AG39:AT42"/>
    <mergeCell ref="CE28:CE30"/>
    <mergeCell ref="A27:A30"/>
    <mergeCell ref="B27:AF30"/>
    <mergeCell ref="CC29:CC30"/>
    <mergeCell ref="CD29:CD30"/>
    <mergeCell ref="B21:AF21"/>
    <mergeCell ref="AR21:BA21"/>
    <mergeCell ref="BB21:BL21"/>
    <mergeCell ref="BM21:BY21"/>
    <mergeCell ref="CB29:CB30"/>
    <mergeCell ref="BZ29:BZ30"/>
    <mergeCell ref="BD10:BL10"/>
    <mergeCell ref="BD9:BL9"/>
    <mergeCell ref="CA5:CA6"/>
    <mergeCell ref="CC5:CC6"/>
    <mergeCell ref="B3:AF6"/>
    <mergeCell ref="BM8:BY8"/>
    <mergeCell ref="AG7:AT7"/>
    <mergeCell ref="AU7:BC7"/>
    <mergeCell ref="BD7:BL7"/>
    <mergeCell ref="BM9:BY9"/>
    <mergeCell ref="B8:AF8"/>
    <mergeCell ref="B10:AF10"/>
    <mergeCell ref="AG10:AT10"/>
    <mergeCell ref="AU10:BC10"/>
    <mergeCell ref="AG3:AT6"/>
    <mergeCell ref="B7:AF7"/>
    <mergeCell ref="AG9:AT9"/>
    <mergeCell ref="AU9:BC9"/>
    <mergeCell ref="BM10:BY10"/>
    <mergeCell ref="CA73:CA75"/>
    <mergeCell ref="CB73:CB75"/>
    <mergeCell ref="CE57:CE58"/>
    <mergeCell ref="BZ63:BZ64"/>
    <mergeCell ref="BZ65:BZ66"/>
    <mergeCell ref="A3:A6"/>
    <mergeCell ref="BZ3:CE3"/>
    <mergeCell ref="BZ4:CA4"/>
    <mergeCell ref="BZ5:BZ6"/>
    <mergeCell ref="BZ40:CA40"/>
    <mergeCell ref="CE40:CE42"/>
    <mergeCell ref="BZ41:BZ42"/>
    <mergeCell ref="CA41:CA42"/>
    <mergeCell ref="CC41:CC42"/>
    <mergeCell ref="CD41:CD42"/>
    <mergeCell ref="CD5:CD6"/>
    <mergeCell ref="CE4:CE6"/>
    <mergeCell ref="BZ17:CE17"/>
    <mergeCell ref="BZ18:CA18"/>
    <mergeCell ref="CE18:CE20"/>
    <mergeCell ref="AU3:BC6"/>
    <mergeCell ref="BD3:BL6"/>
    <mergeCell ref="BM3:BY6"/>
    <mergeCell ref="BM7:BY7"/>
    <mergeCell ref="BZ86:BZ87"/>
    <mergeCell ref="BZ88:BZ89"/>
    <mergeCell ref="BB61:BM61"/>
    <mergeCell ref="BN73:BY75"/>
    <mergeCell ref="CD70:CD72"/>
    <mergeCell ref="CB67:CB69"/>
    <mergeCell ref="CC67:CC69"/>
    <mergeCell ref="CE86:CE87"/>
    <mergeCell ref="CE67:CE69"/>
    <mergeCell ref="CA76:CA77"/>
    <mergeCell ref="CC76:CC77"/>
    <mergeCell ref="CD76:CD77"/>
    <mergeCell ref="CE76:CE77"/>
    <mergeCell ref="CA78:CA79"/>
    <mergeCell ref="CC70:CC72"/>
    <mergeCell ref="CA67:CA69"/>
    <mergeCell ref="CB65:CB66"/>
    <mergeCell ref="CD86:CD87"/>
    <mergeCell ref="CA63:CA64"/>
    <mergeCell ref="CC63:CC64"/>
    <mergeCell ref="CD63:CD64"/>
    <mergeCell ref="CA65:CA66"/>
    <mergeCell ref="CC65:CC66"/>
    <mergeCell ref="CD65:CD66"/>
    <mergeCell ref="A57:A58"/>
    <mergeCell ref="AG35:BA35"/>
    <mergeCell ref="BB35:BL35"/>
    <mergeCell ref="AG11:AT11"/>
    <mergeCell ref="AU11:BC11"/>
    <mergeCell ref="BD11:BL11"/>
    <mergeCell ref="BM11:BY11"/>
    <mergeCell ref="BM27:BY30"/>
    <mergeCell ref="BM32:BY32"/>
    <mergeCell ref="BM31:BY31"/>
    <mergeCell ref="AG22:AQ22"/>
    <mergeCell ref="B17:AF20"/>
    <mergeCell ref="BM17:BY20"/>
    <mergeCell ref="AG21:AQ21"/>
    <mergeCell ref="BM23:BY23"/>
    <mergeCell ref="B31:AF31"/>
    <mergeCell ref="BD44:BL44"/>
    <mergeCell ref="BM44:BY44"/>
    <mergeCell ref="B45:AF45"/>
    <mergeCell ref="AG17:AQ20"/>
    <mergeCell ref="AR17:BA20"/>
    <mergeCell ref="BB17:BL20"/>
    <mergeCell ref="AU39:BC42"/>
    <mergeCell ref="BD39:BL42"/>
    <mergeCell ref="BZ92:BZ93"/>
    <mergeCell ref="BZ82:BZ83"/>
    <mergeCell ref="CB92:CB93"/>
    <mergeCell ref="CC88:CC89"/>
    <mergeCell ref="BZ84:BZ85"/>
    <mergeCell ref="BN92:BY93"/>
    <mergeCell ref="BN62:BY62"/>
    <mergeCell ref="A73:A75"/>
    <mergeCell ref="B73:BA73"/>
    <mergeCell ref="B75:BA75"/>
    <mergeCell ref="BN65:BY66"/>
    <mergeCell ref="BN67:BY69"/>
    <mergeCell ref="BB73:BM75"/>
    <mergeCell ref="A63:A64"/>
    <mergeCell ref="B71:BA71"/>
    <mergeCell ref="A92:A93"/>
    <mergeCell ref="B92:BA92"/>
    <mergeCell ref="BB92:BM93"/>
    <mergeCell ref="B69:BA69"/>
    <mergeCell ref="B63:BA63"/>
    <mergeCell ref="B64:BA64"/>
    <mergeCell ref="B62:BA62"/>
    <mergeCell ref="BB62:BM62"/>
    <mergeCell ref="BZ67:BZ69"/>
    <mergeCell ref="CE88:CE89"/>
    <mergeCell ref="CA84:CA85"/>
    <mergeCell ref="CC84:CC85"/>
    <mergeCell ref="CD84:CD85"/>
    <mergeCell ref="CD82:CD83"/>
    <mergeCell ref="CC92:CC93"/>
    <mergeCell ref="CD92:CD93"/>
    <mergeCell ref="CE92:CE93"/>
    <mergeCell ref="CD88:CD89"/>
    <mergeCell ref="CA86:CA87"/>
    <mergeCell ref="CA92:CA93"/>
    <mergeCell ref="CA82:CA83"/>
    <mergeCell ref="CB82:CB83"/>
    <mergeCell ref="CC82:CC83"/>
    <mergeCell ref="CC86:CC87"/>
    <mergeCell ref="CE90:CE91"/>
    <mergeCell ref="A78:A79"/>
    <mergeCell ref="BB78:BM79"/>
    <mergeCell ref="B78:BA78"/>
    <mergeCell ref="CE82:CE83"/>
    <mergeCell ref="A82:A83"/>
    <mergeCell ref="B82:BA82"/>
    <mergeCell ref="BB82:BM83"/>
    <mergeCell ref="BN82:BY83"/>
    <mergeCell ref="CE80:CE81"/>
    <mergeCell ref="CC78:CC79"/>
    <mergeCell ref="CD78:CD79"/>
    <mergeCell ref="A80:A81"/>
    <mergeCell ref="B80:BA80"/>
    <mergeCell ref="BN80:BY81"/>
    <mergeCell ref="B81:BA81"/>
    <mergeCell ref="CE84:CE85"/>
    <mergeCell ref="B83:BA83"/>
    <mergeCell ref="B46:AF46"/>
    <mergeCell ref="AG46:AT46"/>
    <mergeCell ref="AU46:BC46"/>
    <mergeCell ref="BD46:BL46"/>
    <mergeCell ref="CD67:CD69"/>
    <mergeCell ref="CB63:CB64"/>
    <mergeCell ref="CE63:CE64"/>
    <mergeCell ref="CE65:CE66"/>
    <mergeCell ref="CD73:CD75"/>
    <mergeCell ref="B55:BA55"/>
    <mergeCell ref="BB55:BM55"/>
    <mergeCell ref="B57:BA57"/>
    <mergeCell ref="B61:BA61"/>
    <mergeCell ref="BN61:BY61"/>
    <mergeCell ref="B65:BA65"/>
    <mergeCell ref="B66:BA66"/>
    <mergeCell ref="BB65:BM66"/>
    <mergeCell ref="BZ51:CE51"/>
    <mergeCell ref="BZ52:CA52"/>
    <mergeCell ref="CE52:CE54"/>
    <mergeCell ref="BZ53:BZ54"/>
    <mergeCell ref="CB53:CB54"/>
    <mergeCell ref="AR22:BA22"/>
    <mergeCell ref="BB22:BL22"/>
    <mergeCell ref="BM22:BY22"/>
    <mergeCell ref="B22:AF22"/>
    <mergeCell ref="B34:AF34"/>
    <mergeCell ref="AG34:BA34"/>
    <mergeCell ref="BB34:BL34"/>
    <mergeCell ref="BM34:BY34"/>
    <mergeCell ref="B32:AF32"/>
    <mergeCell ref="AG23:AQ23"/>
  </mergeCells>
  <pageMargins left="0.78740157480314965" right="0.39370078740157483" top="0.59055118110236227" bottom="0.39370078740157483" header="0.27559055118110237" footer="0.27559055118110237"/>
  <pageSetup paperSize="9" scale="53" fitToHeight="0" orientation="landscape" r:id="rId1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4659260841701"/>
    <pageSetUpPr fitToPage="1"/>
  </sheetPr>
  <dimension ref="A1:CH56"/>
  <sheetViews>
    <sheetView topLeftCell="A43" workbookViewId="0">
      <selection activeCell="BJ24" sqref="BJ24:CB24"/>
    </sheetView>
  </sheetViews>
  <sheetFormatPr defaultColWidth="1.109375" defaultRowHeight="13.2" x14ac:dyDescent="0.25"/>
  <cols>
    <col min="1" max="1" width="2.109375" style="71" bestFit="1" customWidth="1"/>
    <col min="2" max="80" width="1.109375" style="71"/>
    <col min="81" max="81" width="9" style="71" customWidth="1"/>
    <col min="82" max="82" width="11.44140625" style="71" customWidth="1"/>
    <col min="83" max="83" width="8.6640625" style="71" customWidth="1"/>
    <col min="84" max="84" width="9" style="71" customWidth="1"/>
    <col min="85" max="85" width="8.109375" style="71" customWidth="1"/>
    <col min="86" max="86" width="13.33203125" style="71" customWidth="1"/>
    <col min="87" max="16384" width="1.109375" style="71"/>
  </cols>
  <sheetData>
    <row r="1" spans="1:86" ht="15.6" x14ac:dyDescent="0.3">
      <c r="A1" s="65" t="s">
        <v>172</v>
      </c>
    </row>
    <row r="3" spans="1:86" s="65" customFormat="1" ht="45.75" customHeight="1" x14ac:dyDescent="0.3">
      <c r="A3" s="245" t="s">
        <v>173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</row>
    <row r="4" spans="1:86" s="67" customFormat="1" ht="17.25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6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232" t="s">
        <v>174</v>
      </c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 t="s">
        <v>139</v>
      </c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 t="s">
        <v>175</v>
      </c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6" t="s">
        <v>61</v>
      </c>
      <c r="CD5" s="236"/>
      <c r="CE5" s="236"/>
      <c r="CF5" s="236"/>
      <c r="CG5" s="236"/>
      <c r="CH5" s="236"/>
    </row>
    <row r="6" spans="1:86" ht="89.2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 t="s">
        <v>66</v>
      </c>
      <c r="CD6" s="232"/>
      <c r="CE6" s="232" t="s">
        <v>67</v>
      </c>
      <c r="CF6" s="232"/>
      <c r="CG6" s="232"/>
      <c r="CH6" s="232" t="s">
        <v>68</v>
      </c>
    </row>
    <row r="7" spans="1:86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1" t="s">
        <v>69</v>
      </c>
      <c r="CD7" s="231" t="s">
        <v>70</v>
      </c>
      <c r="CE7" s="231" t="s">
        <v>71</v>
      </c>
      <c r="CF7" s="231" t="s">
        <v>69</v>
      </c>
      <c r="CG7" s="231" t="s">
        <v>70</v>
      </c>
      <c r="CH7" s="232"/>
    </row>
    <row r="8" spans="1:86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1"/>
      <c r="CD8" s="231"/>
      <c r="CE8" s="231"/>
      <c r="CF8" s="231"/>
      <c r="CG8" s="231"/>
      <c r="CH8" s="232"/>
    </row>
    <row r="9" spans="1:86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>
        <v>3</v>
      </c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>
        <v>4</v>
      </c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 t="s">
        <v>114</v>
      </c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75">
        <v>6</v>
      </c>
      <c r="CD9" s="75">
        <v>7</v>
      </c>
      <c r="CE9" s="75">
        <v>8</v>
      </c>
      <c r="CF9" s="75">
        <v>9</v>
      </c>
      <c r="CG9" s="75">
        <v>10</v>
      </c>
      <c r="CH9" s="75">
        <v>11</v>
      </c>
    </row>
    <row r="10" spans="1:86" x14ac:dyDescent="0.25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83"/>
      <c r="CD10" s="83"/>
      <c r="CE10" s="83"/>
      <c r="CF10" s="83"/>
      <c r="CG10" s="83"/>
      <c r="CH10" s="83"/>
    </row>
    <row r="11" spans="1:86" x14ac:dyDescent="0.2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83"/>
      <c r="CD11" s="83"/>
      <c r="CE11" s="83"/>
      <c r="CF11" s="83"/>
      <c r="CG11" s="83"/>
      <c r="CH11" s="83"/>
    </row>
    <row r="12" spans="1:86" x14ac:dyDescent="0.25">
      <c r="A12" s="228" t="s">
        <v>176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36" t="s">
        <v>1</v>
      </c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 t="s">
        <v>1</v>
      </c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83"/>
      <c r="CD12" s="83"/>
      <c r="CE12" s="83"/>
      <c r="CF12" s="83"/>
      <c r="CG12" s="83"/>
      <c r="CH12" s="83"/>
    </row>
    <row r="13" spans="1:86" s="90" customFormat="1" ht="15.6" x14ac:dyDescent="0.3"/>
    <row r="14" spans="1:86" s="90" customFormat="1" ht="15.6" x14ac:dyDescent="0.3">
      <c r="A14" s="65" t="s">
        <v>177</v>
      </c>
    </row>
    <row r="15" spans="1:86" s="90" customFormat="1" ht="15.6" x14ac:dyDescent="0.3"/>
    <row r="16" spans="1:86" s="65" customFormat="1" ht="15.6" x14ac:dyDescent="0.3">
      <c r="A16" s="70" t="s">
        <v>178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8" spans="1:86" x14ac:dyDescent="0.25">
      <c r="A18" s="365" t="s">
        <v>56</v>
      </c>
      <c r="B18" s="366"/>
      <c r="C18" s="366"/>
      <c r="D18" s="367"/>
      <c r="E18" s="374" t="s">
        <v>110</v>
      </c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  <c r="AN18" s="365" t="s">
        <v>179</v>
      </c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7"/>
      <c r="BB18" s="365" t="s">
        <v>180</v>
      </c>
      <c r="BC18" s="366"/>
      <c r="BD18" s="366"/>
      <c r="BE18" s="366"/>
      <c r="BF18" s="366"/>
      <c r="BG18" s="366"/>
      <c r="BH18" s="366"/>
      <c r="BI18" s="367"/>
      <c r="BJ18" s="365" t="s">
        <v>181</v>
      </c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7"/>
      <c r="CC18" s="236" t="s">
        <v>61</v>
      </c>
      <c r="CD18" s="236"/>
      <c r="CE18" s="236"/>
      <c r="CF18" s="236"/>
      <c r="CG18" s="236"/>
      <c r="CH18" s="236"/>
    </row>
    <row r="19" spans="1:86" ht="93" customHeight="1" x14ac:dyDescent="0.25">
      <c r="A19" s="368"/>
      <c r="B19" s="369"/>
      <c r="C19" s="369"/>
      <c r="D19" s="370"/>
      <c r="E19" s="377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9"/>
      <c r="AN19" s="368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70"/>
      <c r="BB19" s="368"/>
      <c r="BC19" s="369"/>
      <c r="BD19" s="369"/>
      <c r="BE19" s="369"/>
      <c r="BF19" s="369"/>
      <c r="BG19" s="369"/>
      <c r="BH19" s="369"/>
      <c r="BI19" s="370"/>
      <c r="BJ19" s="368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0"/>
      <c r="CC19" s="232" t="s">
        <v>66</v>
      </c>
      <c r="CD19" s="232"/>
      <c r="CE19" s="232" t="s">
        <v>67</v>
      </c>
      <c r="CF19" s="232"/>
      <c r="CG19" s="232"/>
      <c r="CH19" s="232" t="s">
        <v>68</v>
      </c>
    </row>
    <row r="20" spans="1:86" x14ac:dyDescent="0.25">
      <c r="A20" s="368"/>
      <c r="B20" s="369"/>
      <c r="C20" s="369"/>
      <c r="D20" s="370"/>
      <c r="E20" s="377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9"/>
      <c r="AN20" s="368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70"/>
      <c r="BB20" s="368"/>
      <c r="BC20" s="369"/>
      <c r="BD20" s="369"/>
      <c r="BE20" s="369"/>
      <c r="BF20" s="369"/>
      <c r="BG20" s="369"/>
      <c r="BH20" s="369"/>
      <c r="BI20" s="370"/>
      <c r="BJ20" s="368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70"/>
      <c r="CC20" s="231" t="s">
        <v>69</v>
      </c>
      <c r="CD20" s="231" t="s">
        <v>70</v>
      </c>
      <c r="CE20" s="231" t="s">
        <v>71</v>
      </c>
      <c r="CF20" s="231" t="s">
        <v>69</v>
      </c>
      <c r="CG20" s="231" t="s">
        <v>70</v>
      </c>
      <c r="CH20" s="232"/>
    </row>
    <row r="21" spans="1:86" x14ac:dyDescent="0.25">
      <c r="A21" s="371"/>
      <c r="B21" s="372"/>
      <c r="C21" s="372"/>
      <c r="D21" s="373"/>
      <c r="E21" s="380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2"/>
      <c r="AN21" s="371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3"/>
      <c r="BB21" s="371"/>
      <c r="BC21" s="372"/>
      <c r="BD21" s="372"/>
      <c r="BE21" s="372"/>
      <c r="BF21" s="372"/>
      <c r="BG21" s="372"/>
      <c r="BH21" s="372"/>
      <c r="BI21" s="373"/>
      <c r="BJ21" s="371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3"/>
      <c r="CC21" s="231"/>
      <c r="CD21" s="231"/>
      <c r="CE21" s="231"/>
      <c r="CF21" s="231"/>
      <c r="CG21" s="231"/>
      <c r="CH21" s="232"/>
    </row>
    <row r="22" spans="1:86" x14ac:dyDescent="0.25">
      <c r="A22" s="361">
        <v>1</v>
      </c>
      <c r="B22" s="361"/>
      <c r="C22" s="361"/>
      <c r="D22" s="361"/>
      <c r="E22" s="361">
        <v>2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>
        <v>3</v>
      </c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>
        <v>4</v>
      </c>
      <c r="BC22" s="361"/>
      <c r="BD22" s="361"/>
      <c r="BE22" s="361"/>
      <c r="BF22" s="361"/>
      <c r="BG22" s="361"/>
      <c r="BH22" s="361"/>
      <c r="BI22" s="361"/>
      <c r="BJ22" s="361" t="s">
        <v>182</v>
      </c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75">
        <v>6</v>
      </c>
      <c r="CD22" s="75">
        <v>7</v>
      </c>
      <c r="CE22" s="75">
        <v>8</v>
      </c>
      <c r="CF22" s="75">
        <v>9</v>
      </c>
      <c r="CG22" s="75">
        <v>10</v>
      </c>
      <c r="CH22" s="75">
        <v>11</v>
      </c>
    </row>
    <row r="23" spans="1:86" x14ac:dyDescent="0.25">
      <c r="A23" s="354">
        <v>1</v>
      </c>
      <c r="B23" s="354"/>
      <c r="C23" s="354"/>
      <c r="D23" s="354"/>
      <c r="E23" s="355" t="s">
        <v>183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7">
        <v>0</v>
      </c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132"/>
      <c r="CD23" s="133">
        <f>BJ23</f>
        <v>0</v>
      </c>
      <c r="CE23" s="132"/>
      <c r="CF23" s="132"/>
      <c r="CG23" s="132"/>
      <c r="CH23" s="132"/>
    </row>
    <row r="24" spans="1:86" x14ac:dyDescent="0.25">
      <c r="A24" s="354">
        <v>2</v>
      </c>
      <c r="B24" s="354"/>
      <c r="C24" s="354"/>
      <c r="D24" s="354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132"/>
      <c r="CD24" s="133"/>
      <c r="CE24" s="132"/>
      <c r="CF24" s="132"/>
      <c r="CG24" s="132"/>
      <c r="CH24" s="132"/>
    </row>
    <row r="25" spans="1:86" x14ac:dyDescent="0.25">
      <c r="A25" s="228" t="s">
        <v>184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30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236" t="s">
        <v>1</v>
      </c>
      <c r="BC25" s="236"/>
      <c r="BD25" s="236"/>
      <c r="BE25" s="236"/>
      <c r="BF25" s="236"/>
      <c r="BG25" s="236"/>
      <c r="BH25" s="236"/>
      <c r="BI25" s="236"/>
      <c r="BJ25" s="383">
        <f>SUM(BJ23:CB24)</f>
        <v>0</v>
      </c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133"/>
      <c r="CD25" s="135">
        <f>CD23</f>
        <v>0</v>
      </c>
      <c r="CE25" s="133"/>
      <c r="CF25" s="133"/>
      <c r="CG25" s="133"/>
      <c r="CH25" s="136">
        <f>SUM(CH23:CH24)</f>
        <v>0</v>
      </c>
    </row>
    <row r="26" spans="1:86" x14ac:dyDescent="0.25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83"/>
      <c r="CD26" s="83"/>
      <c r="CE26" s="83"/>
      <c r="CF26" s="83"/>
      <c r="CG26" s="83"/>
      <c r="CH26" s="83"/>
    </row>
    <row r="27" spans="1:86" x14ac:dyDescent="0.25">
      <c r="A27" s="228" t="s">
        <v>185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30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236" t="s">
        <v>1</v>
      </c>
      <c r="BC27" s="236"/>
      <c r="BD27" s="236"/>
      <c r="BE27" s="236"/>
      <c r="BF27" s="236"/>
      <c r="BG27" s="236"/>
      <c r="BH27" s="236"/>
      <c r="BI27" s="23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83"/>
      <c r="CD27" s="83"/>
      <c r="CE27" s="83"/>
      <c r="CF27" s="83"/>
      <c r="CG27" s="83"/>
      <c r="CH27" s="83"/>
    </row>
    <row r="28" spans="1:86" x14ac:dyDescent="0.25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83"/>
      <c r="CD28" s="83"/>
      <c r="CE28" s="83"/>
      <c r="CF28" s="83"/>
      <c r="CG28" s="83"/>
      <c r="CH28" s="83"/>
    </row>
    <row r="29" spans="1:86" x14ac:dyDescent="0.25">
      <c r="A29" s="228" t="s">
        <v>186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30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236" t="s">
        <v>1</v>
      </c>
      <c r="BC29" s="236"/>
      <c r="BD29" s="236"/>
      <c r="BE29" s="236"/>
      <c r="BF29" s="236"/>
      <c r="BG29" s="236"/>
      <c r="BH29" s="236"/>
      <c r="BI29" s="23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83"/>
      <c r="CD29" s="83"/>
      <c r="CE29" s="83"/>
      <c r="CF29" s="83"/>
      <c r="CG29" s="83"/>
      <c r="CH29" s="83"/>
    </row>
    <row r="30" spans="1:86" x14ac:dyDescent="0.25">
      <c r="A30" s="354"/>
      <c r="B30" s="354"/>
      <c r="C30" s="354"/>
      <c r="D30" s="354"/>
      <c r="E30" s="354" t="s">
        <v>187</v>
      </c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7">
        <v>0</v>
      </c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83"/>
      <c r="CD30" s="133"/>
      <c r="CE30" s="83"/>
      <c r="CF30" s="83"/>
      <c r="CG30" s="83"/>
      <c r="CH30" s="133">
        <f>BJ30</f>
        <v>0</v>
      </c>
    </row>
    <row r="31" spans="1:86" x14ac:dyDescent="0.25">
      <c r="A31" s="228" t="s">
        <v>188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30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236" t="s">
        <v>1</v>
      </c>
      <c r="BC31" s="236"/>
      <c r="BD31" s="236"/>
      <c r="BE31" s="236"/>
      <c r="BF31" s="236"/>
      <c r="BG31" s="236"/>
      <c r="BH31" s="236"/>
      <c r="BI31" s="236"/>
      <c r="BJ31" s="383">
        <f>BJ30</f>
        <v>0</v>
      </c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83"/>
      <c r="CD31" s="135"/>
      <c r="CE31" s="83"/>
      <c r="CF31" s="83"/>
      <c r="CG31" s="83"/>
      <c r="CH31" s="135">
        <f>BJ31</f>
        <v>0</v>
      </c>
    </row>
    <row r="32" spans="1:86" x14ac:dyDescent="0.25">
      <c r="A32" s="137"/>
      <c r="B32" s="137"/>
      <c r="C32" s="137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139"/>
      <c r="BD32" s="139"/>
      <c r="BE32" s="139"/>
      <c r="BF32" s="139"/>
      <c r="BG32" s="139"/>
      <c r="BH32" s="139"/>
      <c r="BI32" s="139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7"/>
      <c r="CD32" s="137"/>
      <c r="CE32" s="137"/>
      <c r="CF32" s="137"/>
      <c r="CG32" s="137"/>
      <c r="CH32" s="137"/>
    </row>
    <row r="33" spans="1:86" ht="15.6" x14ac:dyDescent="0.3">
      <c r="A33" s="140" t="s">
        <v>189</v>
      </c>
      <c r="B33" s="137"/>
      <c r="C33" s="137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139"/>
      <c r="BD33" s="139"/>
      <c r="BE33" s="139"/>
      <c r="BF33" s="139"/>
      <c r="BG33" s="139"/>
      <c r="BH33" s="139"/>
      <c r="BI33" s="139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7"/>
      <c r="CD33" s="137"/>
      <c r="CE33" s="137"/>
      <c r="CF33" s="137"/>
      <c r="CG33" s="137"/>
      <c r="CH33" s="137"/>
    </row>
    <row r="34" spans="1:86" x14ac:dyDescent="0.25">
      <c r="A34" s="137"/>
      <c r="B34" s="137"/>
      <c r="C34" s="137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139"/>
      <c r="BD34" s="139"/>
      <c r="BE34" s="139"/>
      <c r="BF34" s="139"/>
      <c r="BG34" s="139"/>
      <c r="BH34" s="139"/>
      <c r="BI34" s="139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7"/>
      <c r="CD34" s="137"/>
      <c r="CE34" s="137"/>
      <c r="CF34" s="137"/>
      <c r="CG34" s="137"/>
      <c r="CH34" s="137"/>
    </row>
    <row r="35" spans="1:86" s="65" customFormat="1" ht="32.25" customHeight="1" x14ac:dyDescent="0.3">
      <c r="A35" s="245" t="s">
        <v>190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</row>
    <row r="37" spans="1:86" ht="12.75" customHeight="1" x14ac:dyDescent="0.25">
      <c r="A37" s="365" t="s">
        <v>56</v>
      </c>
      <c r="B37" s="366"/>
      <c r="C37" s="366"/>
      <c r="D37" s="367"/>
      <c r="E37" s="374" t="s">
        <v>110</v>
      </c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6"/>
      <c r="AN37" s="365" t="s">
        <v>191</v>
      </c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7"/>
      <c r="BN37" s="365" t="s">
        <v>192</v>
      </c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7"/>
      <c r="CC37" s="236" t="s">
        <v>61</v>
      </c>
      <c r="CD37" s="236"/>
      <c r="CE37" s="236"/>
      <c r="CF37" s="236"/>
      <c r="CG37" s="236"/>
      <c r="CH37" s="236"/>
    </row>
    <row r="38" spans="1:86" ht="93.75" customHeight="1" x14ac:dyDescent="0.25">
      <c r="A38" s="368"/>
      <c r="B38" s="369"/>
      <c r="C38" s="369"/>
      <c r="D38" s="370"/>
      <c r="E38" s="377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9"/>
      <c r="AN38" s="368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70"/>
      <c r="BN38" s="368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70"/>
      <c r="CC38" s="232" t="s">
        <v>66</v>
      </c>
      <c r="CD38" s="232"/>
      <c r="CE38" s="232" t="s">
        <v>67</v>
      </c>
      <c r="CF38" s="232"/>
      <c r="CG38" s="232"/>
      <c r="CH38" s="232" t="s">
        <v>68</v>
      </c>
    </row>
    <row r="39" spans="1:86" x14ac:dyDescent="0.25">
      <c r="A39" s="368"/>
      <c r="B39" s="369"/>
      <c r="C39" s="369"/>
      <c r="D39" s="370"/>
      <c r="E39" s="377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9"/>
      <c r="AN39" s="368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70"/>
      <c r="BN39" s="368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70"/>
      <c r="CC39" s="231" t="s">
        <v>69</v>
      </c>
      <c r="CD39" s="231" t="s">
        <v>70</v>
      </c>
      <c r="CE39" s="231" t="s">
        <v>71</v>
      </c>
      <c r="CF39" s="231" t="s">
        <v>69</v>
      </c>
      <c r="CG39" s="231" t="s">
        <v>70</v>
      </c>
      <c r="CH39" s="232"/>
    </row>
    <row r="40" spans="1:86" x14ac:dyDescent="0.25">
      <c r="A40" s="371"/>
      <c r="B40" s="372"/>
      <c r="C40" s="372"/>
      <c r="D40" s="373"/>
      <c r="E40" s="380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2"/>
      <c r="AN40" s="371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3"/>
      <c r="BN40" s="371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3"/>
      <c r="CC40" s="231"/>
      <c r="CD40" s="231"/>
      <c r="CE40" s="231"/>
      <c r="CF40" s="231"/>
      <c r="CG40" s="231"/>
      <c r="CH40" s="232"/>
    </row>
    <row r="41" spans="1:86" x14ac:dyDescent="0.25">
      <c r="A41" s="361">
        <v>1</v>
      </c>
      <c r="B41" s="361"/>
      <c r="C41" s="361"/>
      <c r="D41" s="361"/>
      <c r="E41" s="361">
        <v>2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2">
        <v>3</v>
      </c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4"/>
      <c r="BN41" s="361">
        <v>4</v>
      </c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75">
        <v>5</v>
      </c>
      <c r="CD41" s="75">
        <v>6</v>
      </c>
      <c r="CE41" s="75">
        <v>7</v>
      </c>
      <c r="CF41" s="75">
        <v>8</v>
      </c>
      <c r="CG41" s="75">
        <v>9</v>
      </c>
      <c r="CH41" s="75">
        <v>10</v>
      </c>
    </row>
    <row r="42" spans="1:86" x14ac:dyDescent="0.25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234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235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83"/>
      <c r="CD42" s="83"/>
      <c r="CE42" s="83"/>
      <c r="CF42" s="83"/>
      <c r="CG42" s="83"/>
      <c r="CH42" s="83"/>
    </row>
    <row r="43" spans="1:86" x14ac:dyDescent="0.25">
      <c r="A43" s="354"/>
      <c r="B43" s="354"/>
      <c r="C43" s="354"/>
      <c r="D43" s="354"/>
      <c r="E43" s="356" t="s">
        <v>193</v>
      </c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234" t="s">
        <v>1</v>
      </c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58"/>
      <c r="BK43" s="358"/>
      <c r="BL43" s="358"/>
      <c r="BM43" s="235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83"/>
      <c r="CD43" s="83"/>
      <c r="CE43" s="83"/>
      <c r="CF43" s="83"/>
      <c r="CG43" s="83"/>
      <c r="CH43" s="83"/>
    </row>
    <row r="44" spans="1:86" x14ac:dyDescent="0.25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234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235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83"/>
      <c r="CD44" s="83"/>
      <c r="CE44" s="83"/>
      <c r="CF44" s="83"/>
      <c r="CG44" s="83"/>
      <c r="CH44" s="83"/>
    </row>
    <row r="45" spans="1:86" x14ac:dyDescent="0.25">
      <c r="A45" s="354"/>
      <c r="B45" s="354"/>
      <c r="C45" s="354"/>
      <c r="D45" s="354"/>
      <c r="E45" s="356" t="s">
        <v>194</v>
      </c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234" t="s">
        <v>1</v>
      </c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235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83"/>
      <c r="CD45" s="83"/>
      <c r="CE45" s="83"/>
      <c r="CF45" s="83"/>
      <c r="CG45" s="83"/>
      <c r="CH45" s="83"/>
    </row>
    <row r="48" spans="1:86" s="65" customFormat="1" ht="32.25" customHeight="1" x14ac:dyDescent="0.3">
      <c r="A48" s="245" t="s">
        <v>195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</row>
    <row r="50" spans="1:86" ht="12.75" customHeight="1" x14ac:dyDescent="0.25">
      <c r="A50" s="365" t="s">
        <v>56</v>
      </c>
      <c r="B50" s="366"/>
      <c r="C50" s="366"/>
      <c r="D50" s="367"/>
      <c r="E50" s="374" t="s">
        <v>110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6"/>
      <c r="AN50" s="365" t="s">
        <v>196</v>
      </c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7"/>
      <c r="BN50" s="365" t="s">
        <v>197</v>
      </c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7"/>
      <c r="CC50" s="236" t="s">
        <v>61</v>
      </c>
      <c r="CD50" s="236"/>
      <c r="CE50" s="236"/>
      <c r="CF50" s="236"/>
      <c r="CG50" s="236"/>
      <c r="CH50" s="236"/>
    </row>
    <row r="51" spans="1:86" ht="93.75" customHeight="1" x14ac:dyDescent="0.25">
      <c r="A51" s="368"/>
      <c r="B51" s="369"/>
      <c r="C51" s="369"/>
      <c r="D51" s="370"/>
      <c r="E51" s="377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9"/>
      <c r="AN51" s="368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70"/>
      <c r="BN51" s="368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0"/>
      <c r="CC51" s="232" t="s">
        <v>66</v>
      </c>
      <c r="CD51" s="232"/>
      <c r="CE51" s="232" t="s">
        <v>67</v>
      </c>
      <c r="CF51" s="232"/>
      <c r="CG51" s="232"/>
      <c r="CH51" s="232" t="s">
        <v>68</v>
      </c>
    </row>
    <row r="52" spans="1:86" x14ac:dyDescent="0.25">
      <c r="A52" s="368"/>
      <c r="B52" s="369"/>
      <c r="C52" s="369"/>
      <c r="D52" s="370"/>
      <c r="E52" s="377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9"/>
      <c r="AN52" s="368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70"/>
      <c r="BN52" s="368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70"/>
      <c r="CC52" s="231" t="s">
        <v>69</v>
      </c>
      <c r="CD52" s="231" t="s">
        <v>70</v>
      </c>
      <c r="CE52" s="231" t="s">
        <v>71</v>
      </c>
      <c r="CF52" s="231" t="s">
        <v>69</v>
      </c>
      <c r="CG52" s="231" t="s">
        <v>70</v>
      </c>
      <c r="CH52" s="232"/>
    </row>
    <row r="53" spans="1:86" x14ac:dyDescent="0.25">
      <c r="A53" s="371"/>
      <c r="B53" s="372"/>
      <c r="C53" s="372"/>
      <c r="D53" s="373"/>
      <c r="E53" s="380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2"/>
      <c r="AN53" s="371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3"/>
      <c r="BN53" s="371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3"/>
      <c r="CC53" s="231"/>
      <c r="CD53" s="231"/>
      <c r="CE53" s="231"/>
      <c r="CF53" s="231"/>
      <c r="CG53" s="231"/>
      <c r="CH53" s="232"/>
    </row>
    <row r="54" spans="1:86" x14ac:dyDescent="0.25">
      <c r="A54" s="361">
        <v>1</v>
      </c>
      <c r="B54" s="361"/>
      <c r="C54" s="361"/>
      <c r="D54" s="361"/>
      <c r="E54" s="361">
        <v>2</v>
      </c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2">
        <v>3</v>
      </c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3"/>
      <c r="BM54" s="364"/>
      <c r="BN54" s="361">
        <v>4</v>
      </c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75">
        <v>5</v>
      </c>
      <c r="CD54" s="75">
        <v>6</v>
      </c>
      <c r="CE54" s="75">
        <v>7</v>
      </c>
      <c r="CF54" s="75">
        <v>8</v>
      </c>
      <c r="CG54" s="75">
        <v>9</v>
      </c>
      <c r="CH54" s="75">
        <v>10</v>
      </c>
    </row>
    <row r="55" spans="1:86" x14ac:dyDescent="0.25">
      <c r="A55" s="236">
        <v>1</v>
      </c>
      <c r="B55" s="236"/>
      <c r="C55" s="236"/>
      <c r="D55" s="236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234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58"/>
      <c r="BK55" s="358"/>
      <c r="BL55" s="358"/>
      <c r="BM55" s="235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83"/>
      <c r="CD55" s="141">
        <f>BN55</f>
        <v>0</v>
      </c>
      <c r="CE55" s="83"/>
      <c r="CF55" s="83"/>
      <c r="CG55" s="83"/>
      <c r="CH55" s="83"/>
    </row>
    <row r="56" spans="1:86" x14ac:dyDescent="0.25">
      <c r="A56" s="354"/>
      <c r="B56" s="354"/>
      <c r="C56" s="354"/>
      <c r="D56" s="354"/>
      <c r="E56" s="356" t="s">
        <v>188</v>
      </c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234" t="s">
        <v>1</v>
      </c>
      <c r="AO56" s="358"/>
      <c r="AP56" s="358"/>
      <c r="AQ56" s="358"/>
      <c r="AR56" s="358"/>
      <c r="AS56" s="358"/>
      <c r="AT56" s="358"/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358"/>
      <c r="BI56" s="358"/>
      <c r="BJ56" s="358"/>
      <c r="BK56" s="358"/>
      <c r="BL56" s="358"/>
      <c r="BM56" s="235"/>
      <c r="BN56" s="359">
        <f>BN55</f>
        <v>0</v>
      </c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83"/>
      <c r="CD56" s="142">
        <f>CD55</f>
        <v>0</v>
      </c>
      <c r="CE56" s="83"/>
      <c r="CF56" s="83"/>
      <c r="CG56" s="83"/>
      <c r="CH56" s="83"/>
    </row>
  </sheetData>
  <mergeCells count="154">
    <mergeCell ref="CC7:CC8"/>
    <mergeCell ref="CF20:CF21"/>
    <mergeCell ref="CC18:CH18"/>
    <mergeCell ref="BB11:BM11"/>
    <mergeCell ref="BN9:CB9"/>
    <mergeCell ref="CG20:CG21"/>
    <mergeCell ref="CD7:CD8"/>
    <mergeCell ref="CC6:CD6"/>
    <mergeCell ref="A23:D23"/>
    <mergeCell ref="E23:AM23"/>
    <mergeCell ref="AN23:BA23"/>
    <mergeCell ref="A22:D22"/>
    <mergeCell ref="CE19:CG19"/>
    <mergeCell ref="CE6:CG6"/>
    <mergeCell ref="CH6:CH8"/>
    <mergeCell ref="CD20:CD21"/>
    <mergeCell ref="CE20:CE21"/>
    <mergeCell ref="A11:D11"/>
    <mergeCell ref="CC19:CD19"/>
    <mergeCell ref="CC20:CC21"/>
    <mergeCell ref="BN10:CB10"/>
    <mergeCell ref="A5:D8"/>
    <mergeCell ref="CE7:CE8"/>
    <mergeCell ref="CF7:CF8"/>
    <mergeCell ref="E5:AM8"/>
    <mergeCell ref="BB5:BM8"/>
    <mergeCell ref="BN5:CB8"/>
    <mergeCell ref="CG7:CG8"/>
    <mergeCell ref="CC5:CH5"/>
    <mergeCell ref="CH19:CH21"/>
    <mergeCell ref="BB18:BI21"/>
    <mergeCell ref="AN5:BA8"/>
    <mergeCell ref="E26:AM26"/>
    <mergeCell ref="AN22:BA22"/>
    <mergeCell ref="BB23:BI23"/>
    <mergeCell ref="BJ23:CB23"/>
    <mergeCell ref="E22:AM22"/>
    <mergeCell ref="AN25:BA25"/>
    <mergeCell ref="BB26:BI26"/>
    <mergeCell ref="BB22:BI22"/>
    <mergeCell ref="BJ18:CB21"/>
    <mergeCell ref="A3:CH3"/>
    <mergeCell ref="AN37:BM40"/>
    <mergeCell ref="AN41:BM41"/>
    <mergeCell ref="BN41:CB41"/>
    <mergeCell ref="A25:AM25"/>
    <mergeCell ref="A42:D42"/>
    <mergeCell ref="E42:AM42"/>
    <mergeCell ref="BN42:CB42"/>
    <mergeCell ref="AN42:BM42"/>
    <mergeCell ref="A10:D10"/>
    <mergeCell ref="BB9:BM9"/>
    <mergeCell ref="BJ27:CB27"/>
    <mergeCell ref="E18:AM21"/>
    <mergeCell ref="E10:AM10"/>
    <mergeCell ref="AN10:BA10"/>
    <mergeCell ref="AN12:BA12"/>
    <mergeCell ref="BB25:BI25"/>
    <mergeCell ref="AN28:BA28"/>
    <mergeCell ref="BB28:BI28"/>
    <mergeCell ref="BJ28:CB28"/>
    <mergeCell ref="BB27:BI27"/>
    <mergeCell ref="BJ26:CB26"/>
    <mergeCell ref="BJ25:CB25"/>
    <mergeCell ref="A27:AM27"/>
    <mergeCell ref="CH38:CH40"/>
    <mergeCell ref="CC39:CC40"/>
    <mergeCell ref="CD39:CD40"/>
    <mergeCell ref="CE39:CE40"/>
    <mergeCell ref="CF39:CF40"/>
    <mergeCell ref="E11:AM11"/>
    <mergeCell ref="AN11:BA11"/>
    <mergeCell ref="A31:AM31"/>
    <mergeCell ref="BN12:CB12"/>
    <mergeCell ref="BB12:BM12"/>
    <mergeCell ref="CG39:CG40"/>
    <mergeCell ref="AN18:BA21"/>
    <mergeCell ref="AN29:BA29"/>
    <mergeCell ref="BB29:BI29"/>
    <mergeCell ref="CC37:CH37"/>
    <mergeCell ref="BJ29:CB29"/>
    <mergeCell ref="BJ22:CB22"/>
    <mergeCell ref="CC38:CD38"/>
    <mergeCell ref="BB30:BI30"/>
    <mergeCell ref="BJ30:CB30"/>
    <mergeCell ref="A29:AM29"/>
    <mergeCell ref="A28:D28"/>
    <mergeCell ref="E28:AM28"/>
    <mergeCell ref="AN26:BA26"/>
    <mergeCell ref="BB10:BM10"/>
    <mergeCell ref="A9:D9"/>
    <mergeCell ref="E9:AM9"/>
    <mergeCell ref="AN9:BA9"/>
    <mergeCell ref="AN31:BA31"/>
    <mergeCell ref="BB31:BI31"/>
    <mergeCell ref="BJ31:CB31"/>
    <mergeCell ref="A12:AM12"/>
    <mergeCell ref="AN44:BM44"/>
    <mergeCell ref="E43:AM43"/>
    <mergeCell ref="BN43:CB43"/>
    <mergeCell ref="A43:D43"/>
    <mergeCell ref="AN43:BM43"/>
    <mergeCell ref="AN27:BA27"/>
    <mergeCell ref="A26:D26"/>
    <mergeCell ref="A37:D40"/>
    <mergeCell ref="A35:CH35"/>
    <mergeCell ref="CE38:CG38"/>
    <mergeCell ref="E30:AM30"/>
    <mergeCell ref="AN30:BA30"/>
    <mergeCell ref="A18:D21"/>
    <mergeCell ref="BN11:CB11"/>
    <mergeCell ref="E37:AM40"/>
    <mergeCell ref="BN37:CB40"/>
    <mergeCell ref="A45:D45"/>
    <mergeCell ref="E45:AM45"/>
    <mergeCell ref="AN45:BM45"/>
    <mergeCell ref="BN45:CB45"/>
    <mergeCell ref="A41:D41"/>
    <mergeCell ref="E41:AM41"/>
    <mergeCell ref="A30:D30"/>
    <mergeCell ref="A44:D44"/>
    <mergeCell ref="CD52:CD53"/>
    <mergeCell ref="CE52:CE53"/>
    <mergeCell ref="CF52:CF53"/>
    <mergeCell ref="A54:D54"/>
    <mergeCell ref="E54:AM54"/>
    <mergeCell ref="AN54:BM54"/>
    <mergeCell ref="BN54:CB54"/>
    <mergeCell ref="A48:CH48"/>
    <mergeCell ref="A50:D53"/>
    <mergeCell ref="E50:AM53"/>
    <mergeCell ref="AN50:BM53"/>
    <mergeCell ref="BN50:CB53"/>
    <mergeCell ref="CC50:CH50"/>
    <mergeCell ref="CC51:CD51"/>
    <mergeCell ref="CE51:CG51"/>
    <mergeCell ref="CH51:CH53"/>
    <mergeCell ref="CC52:CC53"/>
    <mergeCell ref="CG52:CG53"/>
    <mergeCell ref="A24:D24"/>
    <mergeCell ref="E24:AM24"/>
    <mergeCell ref="AN24:BA24"/>
    <mergeCell ref="BB24:BI24"/>
    <mergeCell ref="BJ24:CB24"/>
    <mergeCell ref="A56:D56"/>
    <mergeCell ref="E56:AM56"/>
    <mergeCell ref="AN56:BM56"/>
    <mergeCell ref="BN56:CB56"/>
    <mergeCell ref="A55:D55"/>
    <mergeCell ref="E55:AM55"/>
    <mergeCell ref="AN55:BM55"/>
    <mergeCell ref="BN55:CB55"/>
    <mergeCell ref="E44:AM44"/>
    <mergeCell ref="BN44:CB44"/>
  </mergeCells>
  <pageMargins left="0.78740157480314965" right="0.39370078740157483" top="0.59055118110236227" bottom="0.39370078740157483" header="0.27559055118110237" footer="0.27559055118110237"/>
  <pageSetup paperSize="9" scale="8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H23"/>
  <sheetViews>
    <sheetView workbookViewId="0">
      <selection activeCell="CE11" sqref="CE11"/>
    </sheetView>
  </sheetViews>
  <sheetFormatPr defaultColWidth="1.109375" defaultRowHeight="13.2" x14ac:dyDescent="0.25"/>
  <cols>
    <col min="1" max="1" width="2.109375" style="71" bestFit="1" customWidth="1"/>
    <col min="2" max="32" width="1.109375" style="71"/>
    <col min="33" max="33" width="0.44140625" style="71" customWidth="1"/>
    <col min="34" max="37" width="1.109375" style="71" hidden="1" customWidth="1"/>
    <col min="38" max="80" width="1.109375" style="71"/>
    <col min="81" max="83" width="9.44140625" style="71" customWidth="1"/>
    <col min="84" max="84" width="9.109375" style="71" customWidth="1"/>
    <col min="85" max="85" width="13.88671875" style="71" customWidth="1"/>
    <col min="86" max="86" width="15.109375" style="71" customWidth="1"/>
    <col min="87" max="16384" width="1.109375" style="71"/>
  </cols>
  <sheetData>
    <row r="1" spans="1:86" ht="36.75" customHeight="1" x14ac:dyDescent="0.3">
      <c r="A1" s="245" t="s">
        <v>198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</row>
    <row r="3" spans="1:86" s="65" customFormat="1" ht="15.6" x14ac:dyDescent="0.3">
      <c r="A3" s="70" t="s">
        <v>199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4" spans="1:86" s="67" customFormat="1" ht="7.8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6" ht="12.75" customHeight="1" x14ac:dyDescent="0.25">
      <c r="A5" s="365" t="s">
        <v>56</v>
      </c>
      <c r="B5" s="366"/>
      <c r="C5" s="366"/>
      <c r="D5" s="367"/>
      <c r="E5" s="374" t="s">
        <v>110</v>
      </c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6"/>
      <c r="AN5" s="365" t="s">
        <v>200</v>
      </c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7"/>
      <c r="BD5" s="365" t="s">
        <v>201</v>
      </c>
      <c r="BE5" s="366"/>
      <c r="BF5" s="366"/>
      <c r="BG5" s="366"/>
      <c r="BH5" s="366"/>
      <c r="BI5" s="366"/>
      <c r="BJ5" s="366"/>
      <c r="BK5" s="366"/>
      <c r="BL5" s="366"/>
      <c r="BM5" s="367"/>
      <c r="BN5" s="365" t="s">
        <v>202</v>
      </c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7"/>
      <c r="CC5" s="234" t="s">
        <v>61</v>
      </c>
      <c r="CD5" s="358"/>
      <c r="CE5" s="358"/>
      <c r="CF5" s="358"/>
      <c r="CG5" s="358"/>
      <c r="CH5" s="235"/>
    </row>
    <row r="6" spans="1:86" ht="78.75" customHeight="1" x14ac:dyDescent="0.25">
      <c r="A6" s="368"/>
      <c r="B6" s="369"/>
      <c r="C6" s="369"/>
      <c r="D6" s="370"/>
      <c r="E6" s="377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9"/>
      <c r="AN6" s="368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70"/>
      <c r="BD6" s="368"/>
      <c r="BE6" s="369"/>
      <c r="BF6" s="369"/>
      <c r="BG6" s="369"/>
      <c r="BH6" s="369"/>
      <c r="BI6" s="369"/>
      <c r="BJ6" s="369"/>
      <c r="BK6" s="369"/>
      <c r="BL6" s="369"/>
      <c r="BM6" s="370"/>
      <c r="BN6" s="368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70"/>
      <c r="CC6" s="239" t="s">
        <v>66</v>
      </c>
      <c r="CD6" s="241"/>
      <c r="CE6" s="239" t="s">
        <v>67</v>
      </c>
      <c r="CF6" s="240"/>
      <c r="CG6" s="241"/>
      <c r="CH6" s="384" t="s">
        <v>68</v>
      </c>
    </row>
    <row r="7" spans="1:86" ht="12.75" customHeight="1" x14ac:dyDescent="0.25">
      <c r="A7" s="368"/>
      <c r="B7" s="369"/>
      <c r="C7" s="369"/>
      <c r="D7" s="370"/>
      <c r="E7" s="377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9"/>
      <c r="AN7" s="368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70"/>
      <c r="BD7" s="368"/>
      <c r="BE7" s="369"/>
      <c r="BF7" s="369"/>
      <c r="BG7" s="369"/>
      <c r="BH7" s="369"/>
      <c r="BI7" s="369"/>
      <c r="BJ7" s="369"/>
      <c r="BK7" s="369"/>
      <c r="BL7" s="369"/>
      <c r="BM7" s="370"/>
      <c r="BN7" s="368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70"/>
      <c r="CC7" s="387" t="s">
        <v>69</v>
      </c>
      <c r="CD7" s="387" t="s">
        <v>70</v>
      </c>
      <c r="CE7" s="387" t="s">
        <v>71</v>
      </c>
      <c r="CF7" s="387" t="s">
        <v>69</v>
      </c>
      <c r="CG7" s="387" t="s">
        <v>70</v>
      </c>
      <c r="CH7" s="385"/>
    </row>
    <row r="8" spans="1:86" ht="12.75" customHeight="1" x14ac:dyDescent="0.25">
      <c r="A8" s="371"/>
      <c r="B8" s="372"/>
      <c r="C8" s="372"/>
      <c r="D8" s="373"/>
      <c r="E8" s="380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2"/>
      <c r="AN8" s="371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3"/>
      <c r="BD8" s="371"/>
      <c r="BE8" s="372"/>
      <c r="BF8" s="372"/>
      <c r="BG8" s="372"/>
      <c r="BH8" s="372"/>
      <c r="BI8" s="372"/>
      <c r="BJ8" s="372"/>
      <c r="BK8" s="372"/>
      <c r="BL8" s="372"/>
      <c r="BM8" s="373"/>
      <c r="BN8" s="371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3"/>
      <c r="CC8" s="388"/>
      <c r="CD8" s="388"/>
      <c r="CE8" s="388"/>
      <c r="CF8" s="388"/>
      <c r="CG8" s="388"/>
      <c r="CH8" s="386"/>
    </row>
    <row r="9" spans="1:86" x14ac:dyDescent="0.25">
      <c r="A9" s="362">
        <v>1</v>
      </c>
      <c r="B9" s="363"/>
      <c r="C9" s="363"/>
      <c r="D9" s="364"/>
      <c r="E9" s="362">
        <v>2</v>
      </c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4"/>
      <c r="AN9" s="362">
        <v>3</v>
      </c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4"/>
      <c r="BD9" s="362">
        <v>4</v>
      </c>
      <c r="BE9" s="363"/>
      <c r="BF9" s="363"/>
      <c r="BG9" s="363"/>
      <c r="BH9" s="363"/>
      <c r="BI9" s="363"/>
      <c r="BJ9" s="363"/>
      <c r="BK9" s="363"/>
      <c r="BL9" s="363"/>
      <c r="BM9" s="364"/>
      <c r="BN9" s="362" t="s">
        <v>114</v>
      </c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4"/>
      <c r="CC9" s="73">
        <v>6</v>
      </c>
      <c r="CD9" s="73">
        <v>7</v>
      </c>
      <c r="CE9" s="73">
        <v>8</v>
      </c>
      <c r="CF9" s="73">
        <v>9</v>
      </c>
      <c r="CG9" s="73">
        <v>10</v>
      </c>
      <c r="CH9" s="73">
        <v>11</v>
      </c>
    </row>
    <row r="10" spans="1:86" x14ac:dyDescent="0.25">
      <c r="A10" s="234">
        <v>1</v>
      </c>
      <c r="B10" s="358"/>
      <c r="C10" s="358"/>
      <c r="D10" s="235"/>
      <c r="E10" s="392" t="s">
        <v>203</v>
      </c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4"/>
      <c r="AN10" s="389">
        <v>0</v>
      </c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1"/>
      <c r="BD10" s="228">
        <v>1</v>
      </c>
      <c r="BE10" s="229"/>
      <c r="BF10" s="229"/>
      <c r="BG10" s="229"/>
      <c r="BH10" s="229"/>
      <c r="BI10" s="229"/>
      <c r="BJ10" s="229"/>
      <c r="BK10" s="229"/>
      <c r="BL10" s="229"/>
      <c r="BM10" s="230"/>
      <c r="BN10" s="389">
        <f>AN10*BD10</f>
        <v>0</v>
      </c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1"/>
      <c r="CC10" s="83"/>
      <c r="CD10" s="83"/>
      <c r="CE10" s="83"/>
      <c r="CF10" s="83"/>
      <c r="CG10" s="133">
        <f>BN10</f>
        <v>0</v>
      </c>
      <c r="CH10" s="83"/>
    </row>
    <row r="11" spans="1:86" x14ac:dyDescent="0.25">
      <c r="A11" s="398" t="s">
        <v>204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7"/>
      <c r="AN11" s="234" t="s">
        <v>1</v>
      </c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235"/>
      <c r="BD11" s="234" t="s">
        <v>1</v>
      </c>
      <c r="BE11" s="358"/>
      <c r="BF11" s="358"/>
      <c r="BG11" s="358"/>
      <c r="BH11" s="358"/>
      <c r="BI11" s="358"/>
      <c r="BJ11" s="358"/>
      <c r="BK11" s="358"/>
      <c r="BL11" s="358"/>
      <c r="BM11" s="235"/>
      <c r="BN11" s="395">
        <f>SUM(BN10:CB10)</f>
        <v>0</v>
      </c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7"/>
      <c r="CC11" s="83"/>
      <c r="CD11" s="83"/>
      <c r="CE11" s="83"/>
      <c r="CF11" s="83"/>
      <c r="CG11" s="135">
        <f>SUM(CG10:CG10)</f>
        <v>0</v>
      </c>
      <c r="CH11" s="83"/>
    </row>
    <row r="12" spans="1:86" s="90" customFormat="1" ht="15.6" x14ac:dyDescent="0.3"/>
    <row r="13" spans="1:86" s="65" customFormat="1" ht="15.6" x14ac:dyDescent="0.3">
      <c r="A13" s="70" t="s">
        <v>205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</row>
    <row r="14" spans="1:86" s="67" customFormat="1" ht="7.8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6" x14ac:dyDescent="0.25">
      <c r="A15" s="232" t="s">
        <v>56</v>
      </c>
      <c r="B15" s="232"/>
      <c r="C15" s="232"/>
      <c r="D15" s="232"/>
      <c r="E15" s="361" t="s">
        <v>110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5" t="s">
        <v>200</v>
      </c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7"/>
      <c r="BD15" s="365" t="s">
        <v>201</v>
      </c>
      <c r="BE15" s="366"/>
      <c r="BF15" s="366"/>
      <c r="BG15" s="366"/>
      <c r="BH15" s="366"/>
      <c r="BI15" s="366"/>
      <c r="BJ15" s="366"/>
      <c r="BK15" s="366"/>
      <c r="BL15" s="366"/>
      <c r="BM15" s="367"/>
      <c r="BN15" s="365" t="s">
        <v>202</v>
      </c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7"/>
      <c r="CC15" s="236" t="s">
        <v>61</v>
      </c>
      <c r="CD15" s="236"/>
      <c r="CE15" s="236"/>
      <c r="CF15" s="236"/>
      <c r="CG15" s="236"/>
      <c r="CH15" s="236"/>
    </row>
    <row r="16" spans="1:86" ht="83.25" customHeight="1" x14ac:dyDescent="0.25">
      <c r="A16" s="232"/>
      <c r="B16" s="232"/>
      <c r="C16" s="232"/>
      <c r="D16" s="232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8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70"/>
      <c r="BD16" s="368"/>
      <c r="BE16" s="369"/>
      <c r="BF16" s="369"/>
      <c r="BG16" s="369"/>
      <c r="BH16" s="369"/>
      <c r="BI16" s="369"/>
      <c r="BJ16" s="369"/>
      <c r="BK16" s="369"/>
      <c r="BL16" s="369"/>
      <c r="BM16" s="370"/>
      <c r="BN16" s="368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70"/>
      <c r="CC16" s="232" t="s">
        <v>66</v>
      </c>
      <c r="CD16" s="232"/>
      <c r="CE16" s="239" t="s">
        <v>67</v>
      </c>
      <c r="CF16" s="240"/>
      <c r="CG16" s="241"/>
      <c r="CH16" s="384" t="s">
        <v>68</v>
      </c>
    </row>
    <row r="17" spans="1:86" ht="12.75" customHeight="1" x14ac:dyDescent="0.25">
      <c r="A17" s="232"/>
      <c r="B17" s="232"/>
      <c r="C17" s="232"/>
      <c r="D17" s="232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8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70"/>
      <c r="BD17" s="368"/>
      <c r="BE17" s="369"/>
      <c r="BF17" s="369"/>
      <c r="BG17" s="369"/>
      <c r="BH17" s="369"/>
      <c r="BI17" s="369"/>
      <c r="BJ17" s="369"/>
      <c r="BK17" s="369"/>
      <c r="BL17" s="369"/>
      <c r="BM17" s="370"/>
      <c r="BN17" s="368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0"/>
      <c r="CC17" s="231" t="s">
        <v>69</v>
      </c>
      <c r="CD17" s="231" t="s">
        <v>70</v>
      </c>
      <c r="CE17" s="387" t="s">
        <v>71</v>
      </c>
      <c r="CF17" s="231" t="s">
        <v>69</v>
      </c>
      <c r="CG17" s="231" t="s">
        <v>70</v>
      </c>
      <c r="CH17" s="385"/>
    </row>
    <row r="18" spans="1:86" x14ac:dyDescent="0.25">
      <c r="A18" s="232"/>
      <c r="B18" s="232"/>
      <c r="C18" s="232"/>
      <c r="D18" s="232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71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3"/>
      <c r="BD18" s="371"/>
      <c r="BE18" s="372"/>
      <c r="BF18" s="372"/>
      <c r="BG18" s="372"/>
      <c r="BH18" s="372"/>
      <c r="BI18" s="372"/>
      <c r="BJ18" s="372"/>
      <c r="BK18" s="372"/>
      <c r="BL18" s="372"/>
      <c r="BM18" s="373"/>
      <c r="BN18" s="371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3"/>
      <c r="CC18" s="231"/>
      <c r="CD18" s="231"/>
      <c r="CE18" s="388"/>
      <c r="CF18" s="231"/>
      <c r="CG18" s="231"/>
      <c r="CH18" s="386"/>
    </row>
    <row r="19" spans="1:86" x14ac:dyDescent="0.25">
      <c r="A19" s="361">
        <v>1</v>
      </c>
      <c r="B19" s="361"/>
      <c r="C19" s="361"/>
      <c r="D19" s="361"/>
      <c r="E19" s="361">
        <v>2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>
        <v>3</v>
      </c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>
        <v>4</v>
      </c>
      <c r="BE19" s="361"/>
      <c r="BF19" s="361"/>
      <c r="BG19" s="361"/>
      <c r="BH19" s="361"/>
      <c r="BI19" s="361"/>
      <c r="BJ19" s="361"/>
      <c r="BK19" s="361"/>
      <c r="BL19" s="361"/>
      <c r="BM19" s="361"/>
      <c r="BN19" s="361" t="s">
        <v>114</v>
      </c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73">
        <v>6</v>
      </c>
      <c r="CD19" s="73">
        <v>7</v>
      </c>
      <c r="CE19" s="73">
        <v>8</v>
      </c>
      <c r="CF19" s="73">
        <v>9</v>
      </c>
      <c r="CG19" s="73">
        <v>10</v>
      </c>
      <c r="CH19" s="73">
        <v>11</v>
      </c>
    </row>
    <row r="20" spans="1:86" x14ac:dyDescent="0.25">
      <c r="A20" s="354"/>
      <c r="B20" s="354"/>
      <c r="C20" s="354"/>
      <c r="D20" s="354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83"/>
      <c r="CD20" s="83"/>
      <c r="CE20" s="83"/>
      <c r="CF20" s="83"/>
      <c r="CG20" s="83"/>
      <c r="CH20" s="83"/>
    </row>
    <row r="21" spans="1:86" x14ac:dyDescent="0.25">
      <c r="A21" s="354"/>
      <c r="B21" s="354"/>
      <c r="C21" s="354"/>
      <c r="D21" s="354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83"/>
      <c r="CD21" s="83"/>
      <c r="CE21" s="83"/>
      <c r="CF21" s="83"/>
      <c r="CG21" s="83"/>
      <c r="CH21" s="83"/>
    </row>
    <row r="22" spans="1:86" x14ac:dyDescent="0.25">
      <c r="A22" s="228" t="s">
        <v>128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30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 t="s">
        <v>1</v>
      </c>
      <c r="BE22" s="236"/>
      <c r="BF22" s="236"/>
      <c r="BG22" s="236"/>
      <c r="BH22" s="236"/>
      <c r="BI22" s="236"/>
      <c r="BJ22" s="236"/>
      <c r="BK22" s="236"/>
      <c r="BL22" s="236"/>
      <c r="BM22" s="23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83"/>
      <c r="CD22" s="83"/>
      <c r="CE22" s="83"/>
      <c r="CF22" s="83"/>
      <c r="CG22" s="83"/>
      <c r="CH22" s="83"/>
    </row>
    <row r="23" spans="1:86" s="90" customFormat="1" ht="15.6" x14ac:dyDescent="0.3"/>
  </sheetData>
  <mergeCells count="62">
    <mergeCell ref="BD19:BM19"/>
    <mergeCell ref="BN19:CB19"/>
    <mergeCell ref="BD11:BM11"/>
    <mergeCell ref="BN11:CB11"/>
    <mergeCell ref="A11:AM11"/>
    <mergeCell ref="A22:AN22"/>
    <mergeCell ref="AO22:BC22"/>
    <mergeCell ref="BD22:BM22"/>
    <mergeCell ref="BN22:CB22"/>
    <mergeCell ref="A20:D20"/>
    <mergeCell ref="A21:D21"/>
    <mergeCell ref="A1:CH1"/>
    <mergeCell ref="CG7:CG8"/>
    <mergeCell ref="A5:D8"/>
    <mergeCell ref="E5:AM8"/>
    <mergeCell ref="AN5:BC8"/>
    <mergeCell ref="E21:AN21"/>
    <mergeCell ref="AO21:BC21"/>
    <mergeCell ref="BD21:BM21"/>
    <mergeCell ref="BN21:CB21"/>
    <mergeCell ref="E20:AN20"/>
    <mergeCell ref="AO20:BC20"/>
    <mergeCell ref="BD20:BM20"/>
    <mergeCell ref="BN20:CB20"/>
    <mergeCell ref="A15:D18"/>
    <mergeCell ref="E15:AN18"/>
    <mergeCell ref="AO15:BC18"/>
    <mergeCell ref="A19:D19"/>
    <mergeCell ref="E19:AN19"/>
    <mergeCell ref="AO19:BC19"/>
    <mergeCell ref="BD15:BM18"/>
    <mergeCell ref="BN15:CB18"/>
    <mergeCell ref="CG17:CG18"/>
    <mergeCell ref="CC15:CH15"/>
    <mergeCell ref="CC16:CD16"/>
    <mergeCell ref="CF17:CF18"/>
    <mergeCell ref="CE16:CG16"/>
    <mergeCell ref="CH16:CH18"/>
    <mergeCell ref="CC17:CC18"/>
    <mergeCell ref="CD17:CD18"/>
    <mergeCell ref="CE17:CE18"/>
    <mergeCell ref="CC5:CH5"/>
    <mergeCell ref="CC6:CD6"/>
    <mergeCell ref="CE6:CG6"/>
    <mergeCell ref="CH6:CH8"/>
    <mergeCell ref="CC7:CC8"/>
    <mergeCell ref="CD7:CD8"/>
    <mergeCell ref="CE7:CE8"/>
    <mergeCell ref="CF7:CF8"/>
    <mergeCell ref="AN11:BC11"/>
    <mergeCell ref="A10:D10"/>
    <mergeCell ref="BD5:BM8"/>
    <mergeCell ref="BN5:CB8"/>
    <mergeCell ref="A9:D9"/>
    <mergeCell ref="AN9:BC9"/>
    <mergeCell ref="BD9:BM9"/>
    <mergeCell ref="BN9:CB9"/>
    <mergeCell ref="E9:AM9"/>
    <mergeCell ref="BN10:CB10"/>
    <mergeCell ref="BD10:BM10"/>
    <mergeCell ref="AN10:BC10"/>
    <mergeCell ref="E10:AM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1DEF"/>
  </sheetPr>
  <dimension ref="A1:CW57"/>
  <sheetViews>
    <sheetView topLeftCell="A25" workbookViewId="0">
      <selection activeCell="BP44" sqref="BP44:CB44"/>
    </sheetView>
  </sheetViews>
  <sheetFormatPr defaultColWidth="1.109375" defaultRowHeight="13.2" x14ac:dyDescent="0.25"/>
  <cols>
    <col min="1" max="18" width="1.109375" style="71"/>
    <col min="19" max="19" width="2.109375" style="71" customWidth="1"/>
    <col min="20" max="33" width="1.109375" style="71"/>
    <col min="34" max="34" width="0.33203125" style="71" customWidth="1"/>
    <col min="35" max="35" width="2.88671875" style="71" hidden="1" customWidth="1"/>
    <col min="36" max="80" width="1.109375" style="71"/>
    <col min="81" max="81" width="10.109375" style="71" customWidth="1"/>
    <col min="82" max="82" width="11" style="71" customWidth="1"/>
    <col min="83" max="83" width="8.5546875" style="71" customWidth="1"/>
    <col min="84" max="84" width="9.88671875" style="71" customWidth="1"/>
    <col min="85" max="85" width="8.6640625" style="71" customWidth="1"/>
    <col min="86" max="86" width="15.109375" style="71" customWidth="1"/>
    <col min="87" max="100" width="1.109375" style="71"/>
    <col min="101" max="101" width="30.44140625" style="71" customWidth="1"/>
    <col min="102" max="16384" width="1.109375" style="71"/>
  </cols>
  <sheetData>
    <row r="1" spans="1:101" s="65" customFormat="1" ht="15.6" x14ac:dyDescent="0.3">
      <c r="A1" s="70" t="s">
        <v>206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101" s="67" customFormat="1" ht="7.8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101" s="65" customFormat="1" ht="15.6" x14ac:dyDescent="0.3">
      <c r="A3" s="70" t="s">
        <v>207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5" spans="1:101" ht="12.75" customHeight="1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232" t="s">
        <v>208</v>
      </c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 t="s">
        <v>201</v>
      </c>
      <c r="AV5" s="232"/>
      <c r="AW5" s="232"/>
      <c r="AX5" s="232"/>
      <c r="AY5" s="232"/>
      <c r="AZ5" s="232"/>
      <c r="BA5" s="232"/>
      <c r="BB5" s="232"/>
      <c r="BC5" s="232"/>
      <c r="BD5" s="232"/>
      <c r="BE5" s="232" t="s">
        <v>209</v>
      </c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361" t="s">
        <v>113</v>
      </c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236" t="s">
        <v>61</v>
      </c>
      <c r="CD5" s="236"/>
      <c r="CE5" s="236"/>
      <c r="CF5" s="236"/>
      <c r="CG5" s="236"/>
      <c r="CH5" s="236"/>
    </row>
    <row r="6" spans="1:101" ht="78.7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232" t="s">
        <v>66</v>
      </c>
      <c r="CD6" s="232"/>
      <c r="CE6" s="239" t="s">
        <v>67</v>
      </c>
      <c r="CF6" s="240"/>
      <c r="CG6" s="241"/>
      <c r="CH6" s="232" t="s">
        <v>68</v>
      </c>
    </row>
    <row r="7" spans="1:101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231" t="s">
        <v>69</v>
      </c>
      <c r="CD7" s="231" t="s">
        <v>70</v>
      </c>
      <c r="CE7" s="387" t="s">
        <v>71</v>
      </c>
      <c r="CF7" s="231" t="s">
        <v>69</v>
      </c>
      <c r="CG7" s="231" t="s">
        <v>70</v>
      </c>
      <c r="CH7" s="232"/>
    </row>
    <row r="8" spans="1:101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231"/>
      <c r="CD8" s="231"/>
      <c r="CE8" s="388"/>
      <c r="CF8" s="231"/>
      <c r="CG8" s="231"/>
      <c r="CH8" s="232"/>
    </row>
    <row r="9" spans="1:101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>
        <v>3</v>
      </c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>
        <v>4</v>
      </c>
      <c r="AV9" s="361"/>
      <c r="AW9" s="361"/>
      <c r="AX9" s="361"/>
      <c r="AY9" s="361"/>
      <c r="AZ9" s="361"/>
      <c r="BA9" s="361"/>
      <c r="BB9" s="361"/>
      <c r="BC9" s="361"/>
      <c r="BD9" s="361"/>
      <c r="BE9" s="361">
        <v>5</v>
      </c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 t="s">
        <v>124</v>
      </c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73">
        <v>7</v>
      </c>
      <c r="CD9" s="73">
        <v>8</v>
      </c>
      <c r="CE9" s="73">
        <v>9</v>
      </c>
      <c r="CF9" s="73">
        <v>10</v>
      </c>
      <c r="CG9" s="73">
        <v>11</v>
      </c>
      <c r="CH9" s="73">
        <v>12</v>
      </c>
    </row>
    <row r="10" spans="1:101" ht="27" customHeight="1" x14ac:dyDescent="0.25">
      <c r="A10" s="354">
        <v>1</v>
      </c>
      <c r="B10" s="354"/>
      <c r="C10" s="354"/>
      <c r="D10" s="354"/>
      <c r="E10" s="355" t="s">
        <v>210</v>
      </c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6">
        <v>2</v>
      </c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>
        <v>0</v>
      </c>
      <c r="AV10" s="356"/>
      <c r="AW10" s="356"/>
      <c r="AX10" s="356"/>
      <c r="AY10" s="356"/>
      <c r="AZ10" s="356"/>
      <c r="BA10" s="356"/>
      <c r="BB10" s="356"/>
      <c r="BC10" s="356"/>
      <c r="BD10" s="356"/>
      <c r="BE10" s="356">
        <v>30</v>
      </c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400">
        <f>AJ10*AU10*BE10</f>
        <v>0</v>
      </c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88"/>
      <c r="CD10" s="88">
        <f>BP10</f>
        <v>0</v>
      </c>
      <c r="CE10" s="83"/>
      <c r="CF10" s="83"/>
      <c r="CG10" s="83"/>
      <c r="CH10" s="83"/>
      <c r="CW10" s="71">
        <f>-360</f>
        <v>-360</v>
      </c>
    </row>
    <row r="11" spans="1:101" ht="26.4" customHeight="1" x14ac:dyDescent="0.25">
      <c r="A11" s="354">
        <v>2</v>
      </c>
      <c r="B11" s="354"/>
      <c r="C11" s="354"/>
      <c r="D11" s="354"/>
      <c r="E11" s="355" t="s">
        <v>211</v>
      </c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6">
        <v>11</v>
      </c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>
        <v>12</v>
      </c>
      <c r="AV11" s="356"/>
      <c r="AW11" s="356"/>
      <c r="AX11" s="356"/>
      <c r="AY11" s="356"/>
      <c r="AZ11" s="356"/>
      <c r="BA11" s="356"/>
      <c r="BB11" s="356"/>
      <c r="BC11" s="356"/>
      <c r="BD11" s="356"/>
      <c r="BE11" s="400">
        <v>247.8</v>
      </c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>
        <f>AU11*BE11*AJ11-2800</f>
        <v>29909.600000000006</v>
      </c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88"/>
      <c r="CD11" s="88">
        <f>BP11</f>
        <v>29909.600000000006</v>
      </c>
      <c r="CE11" s="83"/>
      <c r="CF11" s="83"/>
      <c r="CG11" s="83"/>
      <c r="CH11" s="83"/>
      <c r="CW11" s="71">
        <f>-2800</f>
        <v>-2800</v>
      </c>
    </row>
    <row r="12" spans="1:101" ht="27" customHeight="1" x14ac:dyDescent="0.25">
      <c r="A12" s="354">
        <v>3</v>
      </c>
      <c r="B12" s="354"/>
      <c r="C12" s="354"/>
      <c r="D12" s="354"/>
      <c r="E12" s="355" t="s">
        <v>212</v>
      </c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6">
        <v>1</v>
      </c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>
        <v>12</v>
      </c>
      <c r="AV12" s="356"/>
      <c r="AW12" s="356"/>
      <c r="AX12" s="356"/>
      <c r="AY12" s="356"/>
      <c r="AZ12" s="356"/>
      <c r="BA12" s="356"/>
      <c r="BB12" s="356"/>
      <c r="BC12" s="356"/>
      <c r="BD12" s="356"/>
      <c r="BE12" s="400">
        <v>5650</v>
      </c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>
        <f>AU12*BE12</f>
        <v>67800</v>
      </c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88"/>
      <c r="CD12" s="88">
        <f>BP12</f>
        <v>67800</v>
      </c>
      <c r="CE12" s="83"/>
      <c r="CF12" s="83"/>
      <c r="CG12" s="83"/>
      <c r="CH12" s="83"/>
    </row>
    <row r="13" spans="1:101" ht="27" customHeight="1" x14ac:dyDescent="0.25">
      <c r="A13" s="354">
        <v>4</v>
      </c>
      <c r="B13" s="354"/>
      <c r="C13" s="354"/>
      <c r="D13" s="354"/>
      <c r="E13" s="355" t="s">
        <v>213</v>
      </c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6">
        <v>1</v>
      </c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>
        <v>10</v>
      </c>
      <c r="AV13" s="356"/>
      <c r="AW13" s="356"/>
      <c r="AX13" s="356"/>
      <c r="AY13" s="356"/>
      <c r="AZ13" s="356"/>
      <c r="BA13" s="356"/>
      <c r="BB13" s="356"/>
      <c r="BC13" s="356"/>
      <c r="BD13" s="356"/>
      <c r="BE13" s="400">
        <v>6270</v>
      </c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>
        <f>AU13*BE13</f>
        <v>62700</v>
      </c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88"/>
      <c r="CD13" s="88">
        <f>BP13</f>
        <v>62700</v>
      </c>
      <c r="CE13" s="83"/>
      <c r="CF13" s="83"/>
      <c r="CG13" s="83"/>
      <c r="CH13" s="83"/>
    </row>
    <row r="14" spans="1:101" x14ac:dyDescent="0.25">
      <c r="A14" s="398" t="s">
        <v>214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7"/>
      <c r="AJ14" s="236" t="s">
        <v>1</v>
      </c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 t="s">
        <v>1</v>
      </c>
      <c r="AV14" s="236"/>
      <c r="AW14" s="236"/>
      <c r="AX14" s="236"/>
      <c r="AY14" s="236"/>
      <c r="AZ14" s="236"/>
      <c r="BA14" s="236"/>
      <c r="BB14" s="236"/>
      <c r="BC14" s="236"/>
      <c r="BD14" s="236"/>
      <c r="BE14" s="236" t="s">
        <v>1</v>
      </c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403">
        <f>SUM(BP10:BP13)</f>
        <v>160409.60000000001</v>
      </c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89">
        <f>SUM(CC11:CC12)</f>
        <v>0</v>
      </c>
      <c r="CD14" s="89">
        <f>SUM(CD10:CD13)</f>
        <v>160409.60000000001</v>
      </c>
      <c r="CE14" s="83"/>
      <c r="CF14" s="83"/>
      <c r="CG14" s="83"/>
      <c r="CH14" s="83"/>
    </row>
    <row r="15" spans="1:101" ht="111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45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6"/>
      <c r="CD15" s="146"/>
      <c r="CE15" s="137"/>
      <c r="CF15" s="137"/>
      <c r="CG15" s="137"/>
      <c r="CH15" s="137"/>
    </row>
    <row r="16" spans="1:101" s="65" customFormat="1" ht="15.6" x14ac:dyDescent="0.3">
      <c r="A16" s="70" t="s">
        <v>215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8" spans="1:86" x14ac:dyDescent="0.25">
      <c r="A18" s="232" t="s">
        <v>56</v>
      </c>
      <c r="B18" s="232"/>
      <c r="C18" s="232"/>
      <c r="D18" s="232"/>
      <c r="E18" s="361" t="s">
        <v>110</v>
      </c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232" t="s">
        <v>216</v>
      </c>
      <c r="AO18" s="232"/>
      <c r="AP18" s="232"/>
      <c r="AQ18" s="232"/>
      <c r="AR18" s="232"/>
      <c r="AS18" s="232"/>
      <c r="AT18" s="232"/>
      <c r="AU18" s="232"/>
      <c r="AV18" s="232"/>
      <c r="AW18" s="232" t="s">
        <v>217</v>
      </c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361" t="s">
        <v>113</v>
      </c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236" t="s">
        <v>61</v>
      </c>
      <c r="CD18" s="236"/>
      <c r="CE18" s="236"/>
      <c r="CF18" s="236"/>
      <c r="CG18" s="236"/>
      <c r="CH18" s="236"/>
    </row>
    <row r="19" spans="1:86" ht="80.25" customHeight="1" x14ac:dyDescent="0.25">
      <c r="A19" s="232"/>
      <c r="B19" s="232"/>
      <c r="C19" s="232"/>
      <c r="D19" s="232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232" t="s">
        <v>66</v>
      </c>
      <c r="CD19" s="232"/>
      <c r="CE19" s="232" t="s">
        <v>67</v>
      </c>
      <c r="CF19" s="232"/>
      <c r="CG19" s="232"/>
      <c r="CH19" s="232" t="s">
        <v>68</v>
      </c>
    </row>
    <row r="20" spans="1:86" x14ac:dyDescent="0.25">
      <c r="A20" s="232"/>
      <c r="B20" s="232"/>
      <c r="C20" s="232"/>
      <c r="D20" s="232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231" t="s">
        <v>69</v>
      </c>
      <c r="CD20" s="231" t="s">
        <v>70</v>
      </c>
      <c r="CE20" s="231" t="s">
        <v>71</v>
      </c>
      <c r="CF20" s="231" t="s">
        <v>69</v>
      </c>
      <c r="CG20" s="231" t="s">
        <v>70</v>
      </c>
      <c r="CH20" s="232"/>
    </row>
    <row r="21" spans="1:86" x14ac:dyDescent="0.25">
      <c r="A21" s="232"/>
      <c r="B21" s="232"/>
      <c r="C21" s="232"/>
      <c r="D21" s="232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231"/>
      <c r="CD21" s="231"/>
      <c r="CE21" s="231"/>
      <c r="CF21" s="231"/>
      <c r="CG21" s="231"/>
      <c r="CH21" s="232"/>
    </row>
    <row r="22" spans="1:86" x14ac:dyDescent="0.25">
      <c r="A22" s="361">
        <v>1</v>
      </c>
      <c r="B22" s="361"/>
      <c r="C22" s="361"/>
      <c r="D22" s="361"/>
      <c r="E22" s="361">
        <v>2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>
        <v>3</v>
      </c>
      <c r="AO22" s="361"/>
      <c r="AP22" s="361"/>
      <c r="AQ22" s="361"/>
      <c r="AR22" s="361"/>
      <c r="AS22" s="361"/>
      <c r="AT22" s="361"/>
      <c r="AU22" s="361"/>
      <c r="AV22" s="361"/>
      <c r="AW22" s="361">
        <v>4</v>
      </c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 t="s">
        <v>114</v>
      </c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73">
        <v>6</v>
      </c>
      <c r="CD22" s="73">
        <v>7</v>
      </c>
      <c r="CE22" s="73">
        <v>8</v>
      </c>
      <c r="CF22" s="73">
        <v>9</v>
      </c>
      <c r="CG22" s="73">
        <v>10</v>
      </c>
      <c r="CH22" s="73">
        <v>11</v>
      </c>
    </row>
    <row r="23" spans="1:86" x14ac:dyDescent="0.25">
      <c r="A23" s="354">
        <v>1</v>
      </c>
      <c r="B23" s="354"/>
      <c r="C23" s="354"/>
      <c r="D23" s="354"/>
      <c r="E23" s="354" t="s">
        <v>218</v>
      </c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6">
        <v>1</v>
      </c>
      <c r="AO23" s="356"/>
      <c r="AP23" s="356"/>
      <c r="AQ23" s="356"/>
      <c r="AR23" s="356"/>
      <c r="AS23" s="356"/>
      <c r="AT23" s="356"/>
      <c r="AU23" s="356"/>
      <c r="AV23" s="356"/>
      <c r="AW23" s="357">
        <v>58000</v>
      </c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89">
        <f>AN23*AW23</f>
        <v>58000</v>
      </c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1"/>
      <c r="CC23" s="133"/>
      <c r="CD23" s="131">
        <v>0</v>
      </c>
      <c r="CE23" s="133"/>
      <c r="CF23" s="133"/>
      <c r="CG23" s="133"/>
      <c r="CH23" s="131">
        <f>BJ23</f>
        <v>58000</v>
      </c>
    </row>
    <row r="24" spans="1:86" x14ac:dyDescent="0.25">
      <c r="A24" s="398" t="s">
        <v>219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7"/>
      <c r="AN24" s="356"/>
      <c r="AO24" s="356"/>
      <c r="AP24" s="356"/>
      <c r="AQ24" s="356"/>
      <c r="AR24" s="356"/>
      <c r="AS24" s="356"/>
      <c r="AT24" s="356"/>
      <c r="AU24" s="356"/>
      <c r="AV24" s="356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83">
        <f>SUM(BJ23:CB23)</f>
        <v>58000</v>
      </c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133"/>
      <c r="CD24" s="134">
        <f>SUM(CD23:CD23)</f>
        <v>0</v>
      </c>
      <c r="CE24" s="133"/>
      <c r="CF24" s="133"/>
      <c r="CG24" s="133"/>
      <c r="CH24" s="134">
        <f>SUM(CH23:CH23)</f>
        <v>58000</v>
      </c>
    </row>
    <row r="25" spans="1:86" s="65" customFormat="1" ht="15.6" x14ac:dyDescent="0.3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</row>
    <row r="26" spans="1:86" s="65" customFormat="1" ht="15.6" x14ac:dyDescent="0.3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</row>
    <row r="27" spans="1:86" s="65" customFormat="1" ht="15.6" x14ac:dyDescent="0.3">
      <c r="A27" s="70" t="s">
        <v>220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9" spans="1:86" x14ac:dyDescent="0.25">
      <c r="A29" s="232" t="s">
        <v>56</v>
      </c>
      <c r="B29" s="232"/>
      <c r="C29" s="232"/>
      <c r="D29" s="232"/>
      <c r="E29" s="361" t="s">
        <v>2</v>
      </c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232" t="s">
        <v>221</v>
      </c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 t="s">
        <v>222</v>
      </c>
      <c r="AV29" s="232"/>
      <c r="AW29" s="232"/>
      <c r="AX29" s="232"/>
      <c r="AY29" s="232"/>
      <c r="AZ29" s="232"/>
      <c r="BA29" s="232"/>
      <c r="BB29" s="232"/>
      <c r="BC29" s="232"/>
      <c r="BD29" s="232"/>
      <c r="BE29" s="361" t="s">
        <v>223</v>
      </c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 t="s">
        <v>113</v>
      </c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236" t="s">
        <v>61</v>
      </c>
      <c r="CD29" s="236"/>
      <c r="CE29" s="236"/>
      <c r="CF29" s="236"/>
      <c r="CG29" s="236"/>
      <c r="CH29" s="236"/>
    </row>
    <row r="30" spans="1:86" ht="79.5" customHeight="1" x14ac:dyDescent="0.25">
      <c r="A30" s="232"/>
      <c r="B30" s="232"/>
      <c r="C30" s="232"/>
      <c r="D30" s="232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232" t="s">
        <v>66</v>
      </c>
      <c r="CD30" s="232"/>
      <c r="CE30" s="232" t="s">
        <v>67</v>
      </c>
      <c r="CF30" s="232"/>
      <c r="CG30" s="232"/>
      <c r="CH30" s="232" t="s">
        <v>68</v>
      </c>
    </row>
    <row r="31" spans="1:86" x14ac:dyDescent="0.25">
      <c r="A31" s="232"/>
      <c r="B31" s="232"/>
      <c r="C31" s="232"/>
      <c r="D31" s="232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231" t="s">
        <v>69</v>
      </c>
      <c r="CD31" s="231" t="s">
        <v>70</v>
      </c>
      <c r="CE31" s="231" t="s">
        <v>71</v>
      </c>
      <c r="CF31" s="231" t="s">
        <v>69</v>
      </c>
      <c r="CG31" s="231" t="s">
        <v>70</v>
      </c>
      <c r="CH31" s="232"/>
    </row>
    <row r="32" spans="1:86" x14ac:dyDescent="0.25">
      <c r="A32" s="232"/>
      <c r="B32" s="232"/>
      <c r="C32" s="232"/>
      <c r="D32" s="232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231"/>
      <c r="CD32" s="231"/>
      <c r="CE32" s="231"/>
      <c r="CF32" s="231"/>
      <c r="CG32" s="231"/>
      <c r="CH32" s="232"/>
    </row>
    <row r="33" spans="1:101" x14ac:dyDescent="0.25">
      <c r="A33" s="361">
        <v>1</v>
      </c>
      <c r="B33" s="361"/>
      <c r="C33" s="361"/>
      <c r="D33" s="361"/>
      <c r="E33" s="361">
        <v>2</v>
      </c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>
        <v>3</v>
      </c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>
        <v>4</v>
      </c>
      <c r="AV33" s="361"/>
      <c r="AW33" s="361"/>
      <c r="AX33" s="361"/>
      <c r="AY33" s="361"/>
      <c r="AZ33" s="361"/>
      <c r="BA33" s="361"/>
      <c r="BB33" s="361"/>
      <c r="BC33" s="361"/>
      <c r="BD33" s="361"/>
      <c r="BE33" s="361">
        <v>5</v>
      </c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 t="s">
        <v>224</v>
      </c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73">
        <v>7</v>
      </c>
      <c r="CD33" s="73">
        <v>8</v>
      </c>
      <c r="CE33" s="73">
        <v>9</v>
      </c>
      <c r="CF33" s="73">
        <v>10</v>
      </c>
      <c r="CG33" s="73">
        <v>11</v>
      </c>
      <c r="CH33" s="73">
        <v>12</v>
      </c>
    </row>
    <row r="34" spans="1:101" ht="27" customHeight="1" x14ac:dyDescent="0.25">
      <c r="A34" s="354">
        <v>1</v>
      </c>
      <c r="B34" s="354"/>
      <c r="C34" s="354"/>
      <c r="D34" s="354"/>
      <c r="E34" s="355" t="s">
        <v>225</v>
      </c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402" t="s">
        <v>226</v>
      </c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 t="s">
        <v>227</v>
      </c>
      <c r="AV34" s="402"/>
      <c r="AW34" s="402"/>
      <c r="AX34" s="402"/>
      <c r="AY34" s="402"/>
      <c r="AZ34" s="402"/>
      <c r="BA34" s="402"/>
      <c r="BB34" s="402"/>
      <c r="BC34" s="402"/>
      <c r="BD34" s="402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400">
        <f>20.963*50.12+1*1385.78+9136.02</f>
        <v>11572.465560000001</v>
      </c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83"/>
      <c r="CD34" s="143">
        <f>BP34</f>
        <v>11572.465560000001</v>
      </c>
      <c r="CE34" s="83"/>
      <c r="CF34" s="83"/>
      <c r="CG34" s="83"/>
      <c r="CH34" s="82"/>
      <c r="CW34" s="148">
        <f>0</f>
        <v>0</v>
      </c>
    </row>
    <row r="35" spans="1:101" ht="21" customHeight="1" x14ac:dyDescent="0.25">
      <c r="A35" s="354">
        <v>2</v>
      </c>
      <c r="B35" s="354"/>
      <c r="C35" s="354"/>
      <c r="D35" s="354"/>
      <c r="E35" s="399" t="s">
        <v>228</v>
      </c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400">
        <f>100+133</f>
        <v>233</v>
      </c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>
        <f>24.36*1.2</f>
        <v>29.231999999999999</v>
      </c>
      <c r="AV35" s="400"/>
      <c r="AW35" s="400"/>
      <c r="AX35" s="400"/>
      <c r="AY35" s="400"/>
      <c r="AZ35" s="400"/>
      <c r="BA35" s="400"/>
      <c r="BB35" s="400"/>
      <c r="BC35" s="400"/>
      <c r="BD35" s="400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400">
        <f>AJ35*AU35</f>
        <v>6811.0559999999996</v>
      </c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83"/>
      <c r="CD35" s="143">
        <f t="shared" ref="CD35:CD44" si="0">LL35-CH35</f>
        <v>6811.0559999999996</v>
      </c>
      <c r="CE35" s="83"/>
      <c r="CF35" s="83"/>
      <c r="CG35" s="83"/>
      <c r="CH35" s="82"/>
    </row>
    <row r="36" spans="1:101" ht="19.5" customHeight="1" x14ac:dyDescent="0.25">
      <c r="A36" s="354">
        <v>3</v>
      </c>
      <c r="B36" s="354"/>
      <c r="C36" s="354"/>
      <c r="D36" s="354"/>
      <c r="E36" s="399" t="s">
        <v>229</v>
      </c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400">
        <f>(155+(145/3*2))</f>
        <v>251.66666666666669</v>
      </c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>
        <f>26.2*1.2</f>
        <v>31.439999999999998</v>
      </c>
      <c r="AV36" s="400"/>
      <c r="AW36" s="400"/>
      <c r="AX36" s="400"/>
      <c r="AY36" s="400"/>
      <c r="AZ36" s="400"/>
      <c r="BA36" s="400"/>
      <c r="BB36" s="400"/>
      <c r="BC36" s="400"/>
      <c r="BD36" s="400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400">
        <f>AJ36*AU36</f>
        <v>7912.4</v>
      </c>
      <c r="BQ36" s="400"/>
      <c r="BR36" s="400"/>
      <c r="BS36" s="400"/>
      <c r="BT36" s="400"/>
      <c r="BU36" s="400"/>
      <c r="BV36" s="400"/>
      <c r="BW36" s="400"/>
      <c r="BX36" s="400"/>
      <c r="BY36" s="400"/>
      <c r="BZ36" s="400"/>
      <c r="CA36" s="400"/>
      <c r="CB36" s="400"/>
      <c r="CC36" s="83"/>
      <c r="CD36" s="143">
        <f t="shared" si="0"/>
        <v>7912.4</v>
      </c>
      <c r="CE36" s="83"/>
      <c r="CF36" s="83"/>
      <c r="CG36" s="83"/>
      <c r="CH36" s="82"/>
    </row>
    <row r="37" spans="1:101" ht="15.75" customHeight="1" x14ac:dyDescent="0.25">
      <c r="A37" s="354">
        <v>4</v>
      </c>
      <c r="B37" s="354"/>
      <c r="C37" s="354"/>
      <c r="D37" s="354"/>
      <c r="E37" s="399" t="s">
        <v>230</v>
      </c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400">
        <f>175+203</f>
        <v>378</v>
      </c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>
        <f>22.36*1.2</f>
        <v>26.831999999999997</v>
      </c>
      <c r="AV37" s="400"/>
      <c r="AW37" s="400"/>
      <c r="AX37" s="400"/>
      <c r="AY37" s="400"/>
      <c r="AZ37" s="400"/>
      <c r="BA37" s="400"/>
      <c r="BB37" s="400"/>
      <c r="BC37" s="400"/>
      <c r="BD37" s="400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400">
        <f>AJ37*AU37</f>
        <v>10142.495999999999</v>
      </c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83"/>
      <c r="CD37" s="143">
        <f t="shared" si="0"/>
        <v>10142.495999999999</v>
      </c>
      <c r="CE37" s="83"/>
      <c r="CF37" s="83"/>
      <c r="CG37" s="83"/>
      <c r="CH37" s="82"/>
    </row>
    <row r="38" spans="1:101" ht="15.75" customHeight="1" x14ac:dyDescent="0.25">
      <c r="A38" s="354">
        <v>5</v>
      </c>
      <c r="B38" s="354"/>
      <c r="C38" s="354"/>
      <c r="D38" s="354"/>
      <c r="E38" s="399" t="s">
        <v>231</v>
      </c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400">
        <f>(197+(208/3*2))</f>
        <v>335.66666666666663</v>
      </c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>
        <f>24.22*1.2</f>
        <v>29.063999999999997</v>
      </c>
      <c r="AV38" s="400"/>
      <c r="AW38" s="400"/>
      <c r="AX38" s="400"/>
      <c r="AY38" s="400"/>
      <c r="AZ38" s="400"/>
      <c r="BA38" s="400"/>
      <c r="BB38" s="400"/>
      <c r="BC38" s="400"/>
      <c r="BD38" s="400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400">
        <f>AJ38*AU38</f>
        <v>9755.8159999999971</v>
      </c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83"/>
      <c r="CD38" s="143">
        <f t="shared" si="0"/>
        <v>9755.8159999999971</v>
      </c>
      <c r="CE38" s="83"/>
      <c r="CF38" s="83"/>
      <c r="CG38" s="83"/>
      <c r="CH38" s="82"/>
    </row>
    <row r="39" spans="1:101" ht="15.75" customHeight="1" x14ac:dyDescent="0.25">
      <c r="A39" s="354">
        <v>5</v>
      </c>
      <c r="B39" s="354"/>
      <c r="C39" s="354"/>
      <c r="D39" s="354"/>
      <c r="E39" s="399" t="s">
        <v>232</v>
      </c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400">
        <f>29958.86</f>
        <v>29958.86</v>
      </c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83"/>
      <c r="CD39" s="143">
        <f>BP39-CH39</f>
        <v>29958.86</v>
      </c>
      <c r="CE39" s="83"/>
      <c r="CF39" s="83"/>
      <c r="CG39" s="83"/>
      <c r="CH39" s="82"/>
    </row>
    <row r="40" spans="1:101" ht="24" customHeight="1" x14ac:dyDescent="0.25">
      <c r="A40" s="354">
        <v>6</v>
      </c>
      <c r="B40" s="354"/>
      <c r="C40" s="354"/>
      <c r="D40" s="354"/>
      <c r="E40" s="355" t="s">
        <v>233</v>
      </c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400">
        <v>26.5</v>
      </c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1">
        <v>793.23</v>
      </c>
      <c r="AV40" s="401"/>
      <c r="AW40" s="401"/>
      <c r="AX40" s="401"/>
      <c r="AY40" s="401"/>
      <c r="AZ40" s="401"/>
      <c r="BA40" s="401"/>
      <c r="BB40" s="401"/>
      <c r="BC40" s="401"/>
      <c r="BD40" s="401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400">
        <f>AJ40*AU40+276.58+6270.27</f>
        <v>27567.445000000003</v>
      </c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83"/>
      <c r="CD40" s="143">
        <f t="shared" si="0"/>
        <v>27567.445000000003</v>
      </c>
      <c r="CE40" s="83"/>
      <c r="CF40" s="83"/>
      <c r="CG40" s="83"/>
      <c r="CH40" s="82"/>
      <c r="CW40" s="148"/>
    </row>
    <row r="41" spans="1:101" ht="22.5" customHeight="1" x14ac:dyDescent="0.25">
      <c r="A41" s="354">
        <v>7</v>
      </c>
      <c r="B41" s="354"/>
      <c r="C41" s="354"/>
      <c r="D41" s="354"/>
      <c r="E41" s="399" t="s">
        <v>234</v>
      </c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400">
        <f>4.2+4.1</f>
        <v>8.3000000000000007</v>
      </c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>
        <f>1154.82*1.2</f>
        <v>1385.7839999999999</v>
      </c>
      <c r="AV41" s="400"/>
      <c r="AW41" s="400"/>
      <c r="AX41" s="400"/>
      <c r="AY41" s="400"/>
      <c r="AZ41" s="400"/>
      <c r="BA41" s="400"/>
      <c r="BB41" s="400"/>
      <c r="BC41" s="400"/>
      <c r="BD41" s="400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400">
        <f>AJ41*AU41</f>
        <v>11502.0072</v>
      </c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83"/>
      <c r="CD41" s="143">
        <f t="shared" si="0"/>
        <v>11502.0072</v>
      </c>
      <c r="CE41" s="83"/>
      <c r="CF41" s="83"/>
      <c r="CG41" s="83"/>
      <c r="CH41" s="143"/>
    </row>
    <row r="42" spans="1:101" ht="19.5" customHeight="1" x14ac:dyDescent="0.25">
      <c r="A42" s="354">
        <v>8</v>
      </c>
      <c r="B42" s="354"/>
      <c r="C42" s="354"/>
      <c r="D42" s="354"/>
      <c r="E42" s="399" t="s">
        <v>235</v>
      </c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400">
        <f>75+70</f>
        <v>145</v>
      </c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>
        <f>41.77*1.2</f>
        <v>50.124000000000002</v>
      </c>
      <c r="AV42" s="400"/>
      <c r="AW42" s="400"/>
      <c r="AX42" s="400"/>
      <c r="AY42" s="400"/>
      <c r="AZ42" s="400"/>
      <c r="BA42" s="400"/>
      <c r="BB42" s="400"/>
      <c r="BC42" s="400"/>
      <c r="BD42" s="400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400">
        <f>AJ42*AU42+6000</f>
        <v>13267.98</v>
      </c>
      <c r="BQ42" s="400"/>
      <c r="BR42" s="400"/>
      <c r="BS42" s="400"/>
      <c r="BT42" s="400"/>
      <c r="BU42" s="400"/>
      <c r="BV42" s="400"/>
      <c r="BW42" s="400"/>
      <c r="BX42" s="400"/>
      <c r="BY42" s="400"/>
      <c r="BZ42" s="400"/>
      <c r="CA42" s="400"/>
      <c r="CB42" s="400"/>
      <c r="CC42" s="83"/>
      <c r="CD42" s="143">
        <f t="shared" si="0"/>
        <v>13267.98</v>
      </c>
      <c r="CE42" s="83"/>
      <c r="CF42" s="83"/>
      <c r="CG42" s="83"/>
      <c r="CH42" s="82"/>
    </row>
    <row r="43" spans="1:101" ht="22.5" customHeight="1" x14ac:dyDescent="0.25">
      <c r="A43" s="354">
        <v>9</v>
      </c>
      <c r="B43" s="354"/>
      <c r="C43" s="354"/>
      <c r="D43" s="354"/>
      <c r="E43" s="399" t="s">
        <v>236</v>
      </c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400">
        <f>(2.33+(3.56/3*2))</f>
        <v>4.7033333333333331</v>
      </c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>
        <f>1194.13*1.2</f>
        <v>1432.9560000000001</v>
      </c>
      <c r="AV43" s="400"/>
      <c r="AW43" s="400"/>
      <c r="AX43" s="400"/>
      <c r="AY43" s="400"/>
      <c r="AZ43" s="400"/>
      <c r="BA43" s="400"/>
      <c r="BB43" s="400"/>
      <c r="BC43" s="400"/>
      <c r="BD43" s="400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400">
        <f>AJ43*AU43+5000</f>
        <v>11739.669720000002</v>
      </c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83"/>
      <c r="CD43" s="143">
        <f t="shared" si="0"/>
        <v>11739.669720000002</v>
      </c>
      <c r="CE43" s="83"/>
      <c r="CF43" s="83"/>
      <c r="CG43" s="83"/>
      <c r="CH43" s="82"/>
    </row>
    <row r="44" spans="1:101" ht="19.5" customHeight="1" x14ac:dyDescent="0.25">
      <c r="A44" s="354">
        <v>10</v>
      </c>
      <c r="B44" s="354"/>
      <c r="C44" s="354"/>
      <c r="D44" s="354"/>
      <c r="E44" s="399" t="s">
        <v>237</v>
      </c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400">
        <f>(42+(63/3*2))</f>
        <v>84</v>
      </c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>
        <f>44.55*1.2</f>
        <v>53.459999999999994</v>
      </c>
      <c r="AV44" s="400"/>
      <c r="AW44" s="400"/>
      <c r="AX44" s="400"/>
      <c r="AY44" s="400"/>
      <c r="AZ44" s="400"/>
      <c r="BA44" s="400"/>
      <c r="BB44" s="400"/>
      <c r="BC44" s="400"/>
      <c r="BD44" s="400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400">
        <f>AJ44*AU44</f>
        <v>4490.6399999999994</v>
      </c>
      <c r="BQ44" s="400"/>
      <c r="BR44" s="400"/>
      <c r="BS44" s="400"/>
      <c r="BT44" s="400"/>
      <c r="BU44" s="400"/>
      <c r="BV44" s="400"/>
      <c r="BW44" s="400"/>
      <c r="BX44" s="400"/>
      <c r="BY44" s="400"/>
      <c r="BZ44" s="400"/>
      <c r="CA44" s="400"/>
      <c r="CB44" s="400"/>
      <c r="CC44" s="83"/>
      <c r="CD44" s="143">
        <f t="shared" si="0"/>
        <v>4490.6399999999994</v>
      </c>
      <c r="CE44" s="83"/>
      <c r="CF44" s="83"/>
      <c r="CG44" s="83"/>
      <c r="CH44" s="82"/>
    </row>
    <row r="45" spans="1:101" ht="19.5" customHeight="1" x14ac:dyDescent="0.25">
      <c r="A45" s="354">
        <v>11</v>
      </c>
      <c r="B45" s="354"/>
      <c r="C45" s="354"/>
      <c r="D45" s="354"/>
      <c r="E45" s="399" t="s">
        <v>238</v>
      </c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400">
        <v>0</v>
      </c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>
        <v>33520.959999999999</v>
      </c>
      <c r="AV45" s="400"/>
      <c r="AW45" s="400"/>
      <c r="AX45" s="400"/>
      <c r="AY45" s="400"/>
      <c r="AZ45" s="400"/>
      <c r="BA45" s="400"/>
      <c r="BB45" s="400"/>
      <c r="BC45" s="400"/>
      <c r="BD45" s="400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400">
        <f>AJ45*AU45</f>
        <v>0</v>
      </c>
      <c r="BQ45" s="400"/>
      <c r="BR45" s="400"/>
      <c r="BS45" s="400"/>
      <c r="BT45" s="400"/>
      <c r="BU45" s="400"/>
      <c r="BV45" s="400"/>
      <c r="BW45" s="400"/>
      <c r="BX45" s="400"/>
      <c r="BY45" s="400"/>
      <c r="BZ45" s="400"/>
      <c r="CA45" s="400"/>
      <c r="CB45" s="400"/>
      <c r="CC45" s="83"/>
      <c r="CD45" s="143">
        <f>BP45-CH45</f>
        <v>0</v>
      </c>
      <c r="CE45" s="83"/>
      <c r="CF45" s="83"/>
      <c r="CG45" s="83"/>
      <c r="CH45" s="82"/>
      <c r="CW45" s="148"/>
    </row>
    <row r="46" spans="1:101" x14ac:dyDescent="0.25">
      <c r="A46" s="398" t="s">
        <v>239</v>
      </c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7"/>
      <c r="AJ46" s="236" t="s">
        <v>1</v>
      </c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 t="s">
        <v>1</v>
      </c>
      <c r="AV46" s="236"/>
      <c r="AW46" s="236"/>
      <c r="AX46" s="236"/>
      <c r="AY46" s="236"/>
      <c r="AZ46" s="236"/>
      <c r="BA46" s="236"/>
      <c r="BB46" s="236"/>
      <c r="BC46" s="236"/>
      <c r="BD46" s="236"/>
      <c r="BE46" s="236" t="s">
        <v>1</v>
      </c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403">
        <f>SUM(BP34:CB45)</f>
        <v>144720.83548000001</v>
      </c>
      <c r="BQ46" s="403"/>
      <c r="BR46" s="403"/>
      <c r="BS46" s="403"/>
      <c r="BT46" s="403"/>
      <c r="BU46" s="403"/>
      <c r="BV46" s="403"/>
      <c r="BW46" s="403"/>
      <c r="BX46" s="403"/>
      <c r="BY46" s="403"/>
      <c r="BZ46" s="403"/>
      <c r="CA46" s="403"/>
      <c r="CB46" s="403"/>
      <c r="CC46" s="83"/>
      <c r="CD46" s="84">
        <f>SUM(CD34:CD45)</f>
        <v>144720.83548000001</v>
      </c>
      <c r="CE46" s="84"/>
      <c r="CF46" s="84">
        <f>SUM(CF34:CF40)</f>
        <v>0</v>
      </c>
      <c r="CG46" s="84">
        <f>SUM(CG34:CG40)</f>
        <v>0</v>
      </c>
      <c r="CH46" s="84">
        <f>SUM(CH34:CH40)</f>
        <v>0</v>
      </c>
    </row>
    <row r="47" spans="1:101" s="90" customFormat="1" ht="15.6" x14ac:dyDescent="0.3"/>
    <row r="48" spans="1:101" s="65" customFormat="1" ht="15.6" x14ac:dyDescent="0.3">
      <c r="A48" s="70" t="s">
        <v>240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50" spans="1:86" ht="12.75" customHeight="1" x14ac:dyDescent="0.25">
      <c r="A50" s="232" t="s">
        <v>56</v>
      </c>
      <c r="B50" s="232"/>
      <c r="C50" s="232"/>
      <c r="D50" s="232"/>
      <c r="E50" s="361" t="s">
        <v>2</v>
      </c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 t="s">
        <v>241</v>
      </c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232" t="s">
        <v>242</v>
      </c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 t="s">
        <v>243</v>
      </c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6" t="s">
        <v>61</v>
      </c>
      <c r="CD50" s="236"/>
      <c r="CE50" s="236"/>
      <c r="CF50" s="236"/>
      <c r="CG50" s="236"/>
      <c r="CH50" s="236"/>
    </row>
    <row r="51" spans="1:86" ht="80.25" customHeight="1" x14ac:dyDescent="0.25">
      <c r="A51" s="232"/>
      <c r="B51" s="232"/>
      <c r="C51" s="232"/>
      <c r="D51" s="232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 t="s">
        <v>66</v>
      </c>
      <c r="CD51" s="232"/>
      <c r="CE51" s="232" t="s">
        <v>67</v>
      </c>
      <c r="CF51" s="232"/>
      <c r="CG51" s="232"/>
      <c r="CH51" s="232" t="s">
        <v>68</v>
      </c>
    </row>
    <row r="52" spans="1:86" x14ac:dyDescent="0.25">
      <c r="A52" s="232"/>
      <c r="B52" s="232"/>
      <c r="C52" s="232"/>
      <c r="D52" s="232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1" t="s">
        <v>69</v>
      </c>
      <c r="CD52" s="231" t="s">
        <v>70</v>
      </c>
      <c r="CE52" s="231" t="s">
        <v>71</v>
      </c>
      <c r="CF52" s="231" t="s">
        <v>69</v>
      </c>
      <c r="CG52" s="231" t="s">
        <v>70</v>
      </c>
      <c r="CH52" s="232"/>
    </row>
    <row r="53" spans="1:86" x14ac:dyDescent="0.25">
      <c r="A53" s="232"/>
      <c r="B53" s="232"/>
      <c r="C53" s="232"/>
      <c r="D53" s="232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1"/>
      <c r="CD53" s="231"/>
      <c r="CE53" s="231"/>
      <c r="CF53" s="231"/>
      <c r="CG53" s="231"/>
      <c r="CH53" s="232"/>
    </row>
    <row r="54" spans="1:86" x14ac:dyDescent="0.25">
      <c r="A54" s="361">
        <v>1</v>
      </c>
      <c r="B54" s="361"/>
      <c r="C54" s="361"/>
      <c r="D54" s="361"/>
      <c r="E54" s="361">
        <v>2</v>
      </c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>
        <v>3</v>
      </c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>
        <v>4</v>
      </c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 t="s">
        <v>114</v>
      </c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73">
        <v>6</v>
      </c>
      <c r="CD54" s="73">
        <v>7</v>
      </c>
      <c r="CE54" s="73">
        <v>8</v>
      </c>
      <c r="CF54" s="73">
        <v>9</v>
      </c>
      <c r="CG54" s="73">
        <v>10</v>
      </c>
      <c r="CH54" s="73">
        <v>11</v>
      </c>
    </row>
    <row r="55" spans="1:86" x14ac:dyDescent="0.25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83"/>
      <c r="CD55" s="83"/>
      <c r="CE55" s="83"/>
      <c r="CF55" s="83"/>
      <c r="CG55" s="83"/>
      <c r="CH55" s="83"/>
    </row>
    <row r="56" spans="1:86" x14ac:dyDescent="0.25">
      <c r="A56" s="228" t="s">
        <v>244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30"/>
      <c r="AR56" s="236" t="s">
        <v>1</v>
      </c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 t="s">
        <v>1</v>
      </c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 t="s">
        <v>1</v>
      </c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83"/>
      <c r="CD56" s="83"/>
      <c r="CE56" s="83"/>
      <c r="CF56" s="83"/>
      <c r="CG56" s="83"/>
      <c r="CH56" s="83"/>
    </row>
    <row r="57" spans="1:86" s="90" customFormat="1" ht="15.6" x14ac:dyDescent="0.3"/>
  </sheetData>
  <mergeCells count="204">
    <mergeCell ref="A35:D35"/>
    <mergeCell ref="E35:AI35"/>
    <mergeCell ref="A37:D37"/>
    <mergeCell ref="A33:D33"/>
    <mergeCell ref="BP34:CB34"/>
    <mergeCell ref="A24:AM24"/>
    <mergeCell ref="AN22:AV22"/>
    <mergeCell ref="AU14:BD14"/>
    <mergeCell ref="A46:AI46"/>
    <mergeCell ref="AJ46:AT46"/>
    <mergeCell ref="AU46:BD46"/>
    <mergeCell ref="A44:D44"/>
    <mergeCell ref="E44:AI44"/>
    <mergeCell ref="E36:AI36"/>
    <mergeCell ref="A43:D43"/>
    <mergeCell ref="BE36:BO36"/>
    <mergeCell ref="BP36:CB36"/>
    <mergeCell ref="BE34:BO34"/>
    <mergeCell ref="BP35:CB35"/>
    <mergeCell ref="BE44:BO44"/>
    <mergeCell ref="BE35:BO35"/>
    <mergeCell ref="BP44:CB44"/>
    <mergeCell ref="E43:AI43"/>
    <mergeCell ref="AJ43:AT43"/>
    <mergeCell ref="A34:D34"/>
    <mergeCell ref="E54:AQ54"/>
    <mergeCell ref="AR54:BC54"/>
    <mergeCell ref="BD54:BN54"/>
    <mergeCell ref="CG20:CG21"/>
    <mergeCell ref="AR50:BC53"/>
    <mergeCell ref="E50:AQ53"/>
    <mergeCell ref="CC29:CH29"/>
    <mergeCell ref="CC30:CD30"/>
    <mergeCell ref="CE30:CG30"/>
    <mergeCell ref="CH30:CH32"/>
    <mergeCell ref="A50:D53"/>
    <mergeCell ref="CF31:CF32"/>
    <mergeCell ref="BO54:CB54"/>
    <mergeCell ref="CC31:CC32"/>
    <mergeCell ref="CD31:CD32"/>
    <mergeCell ref="CH19:CH21"/>
    <mergeCell ref="CC20:CC21"/>
    <mergeCell ref="CD20:CD21"/>
    <mergeCell ref="CE20:CE21"/>
    <mergeCell ref="CF20:CF21"/>
    <mergeCell ref="CE31:CE32"/>
    <mergeCell ref="BP29:CB32"/>
    <mergeCell ref="AJ29:AT32"/>
    <mergeCell ref="A56:AQ56"/>
    <mergeCell ref="AR56:BC56"/>
    <mergeCell ref="BD56:BN56"/>
    <mergeCell ref="BO56:CB56"/>
    <mergeCell ref="BO50:CB53"/>
    <mergeCell ref="BE37:BO37"/>
    <mergeCell ref="BD50:BN53"/>
    <mergeCell ref="A54:D54"/>
    <mergeCell ref="BE46:BO46"/>
    <mergeCell ref="BP46:CB46"/>
    <mergeCell ref="A55:D55"/>
    <mergeCell ref="E55:AQ55"/>
    <mergeCell ref="AR55:BC55"/>
    <mergeCell ref="BD55:BN55"/>
    <mergeCell ref="BO55:CB55"/>
    <mergeCell ref="A38:D38"/>
    <mergeCell ref="E37:AI37"/>
    <mergeCell ref="E38:AI38"/>
    <mergeCell ref="AU43:BD43"/>
    <mergeCell ref="BE43:BO43"/>
    <mergeCell ref="BP43:CB43"/>
    <mergeCell ref="AJ44:AT44"/>
    <mergeCell ref="AU44:BD44"/>
    <mergeCell ref="A42:D42"/>
    <mergeCell ref="A40:D40"/>
    <mergeCell ref="CC51:CD51"/>
    <mergeCell ref="CE51:CG51"/>
    <mergeCell ref="CH51:CH53"/>
    <mergeCell ref="CC52:CC53"/>
    <mergeCell ref="CD52:CD53"/>
    <mergeCell ref="CE52:CE53"/>
    <mergeCell ref="CF52:CF53"/>
    <mergeCell ref="BE40:BO40"/>
    <mergeCell ref="E40:AI40"/>
    <mergeCell ref="CC50:CH50"/>
    <mergeCell ref="BP40:CB40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CG52:CG53"/>
    <mergeCell ref="AN18:AV21"/>
    <mergeCell ref="E18:AM21"/>
    <mergeCell ref="CG31:CG32"/>
    <mergeCell ref="BE29:BO32"/>
    <mergeCell ref="BE38:BO38"/>
    <mergeCell ref="BP37:CB37"/>
    <mergeCell ref="BP38:CB38"/>
    <mergeCell ref="AW22:BI22"/>
    <mergeCell ref="AJ34:AT34"/>
    <mergeCell ref="E29:AI32"/>
    <mergeCell ref="AJ37:AT37"/>
    <mergeCell ref="AJ38:AT38"/>
    <mergeCell ref="AU37:BD37"/>
    <mergeCell ref="AJ33:AT33"/>
    <mergeCell ref="AU33:BD33"/>
    <mergeCell ref="BE33:BO33"/>
    <mergeCell ref="CC18:CH18"/>
    <mergeCell ref="CC19:CD19"/>
    <mergeCell ref="CE19:CG19"/>
    <mergeCell ref="A11:D11"/>
    <mergeCell ref="BE14:BO14"/>
    <mergeCell ref="BP14:CB14"/>
    <mergeCell ref="AW18:BI21"/>
    <mergeCell ref="BJ18:CB21"/>
    <mergeCell ref="AU11:BD11"/>
    <mergeCell ref="BE11:BO11"/>
    <mergeCell ref="BE12:BO12"/>
    <mergeCell ref="AJ11:AT11"/>
    <mergeCell ref="E11:AI11"/>
    <mergeCell ref="A13:D13"/>
    <mergeCell ref="E13:AI13"/>
    <mergeCell ref="AJ13:AT13"/>
    <mergeCell ref="AU13:BD13"/>
    <mergeCell ref="BE13:BO13"/>
    <mergeCell ref="BP13:CB13"/>
    <mergeCell ref="A5:D8"/>
    <mergeCell ref="E5:AI8"/>
    <mergeCell ref="AJ5:AT8"/>
    <mergeCell ref="AU5:BD8"/>
    <mergeCell ref="BE5:BO8"/>
    <mergeCell ref="BP5:CB8"/>
    <mergeCell ref="A9:D9"/>
    <mergeCell ref="BJ22:CB22"/>
    <mergeCell ref="BJ23:CB23"/>
    <mergeCell ref="AW23:BI23"/>
    <mergeCell ref="AN23:AV23"/>
    <mergeCell ref="AU9:BD9"/>
    <mergeCell ref="BE9:BO9"/>
    <mergeCell ref="BP12:CB12"/>
    <mergeCell ref="BE10:BO10"/>
    <mergeCell ref="BP10:CB10"/>
    <mergeCell ref="A10:D10"/>
    <mergeCell ref="E9:AI9"/>
    <mergeCell ref="AJ9:AT9"/>
    <mergeCell ref="AJ14:AT14"/>
    <mergeCell ref="A18:D21"/>
    <mergeCell ref="E10:AI10"/>
    <mergeCell ref="AJ10:AT10"/>
    <mergeCell ref="A14:AI14"/>
    <mergeCell ref="AU36:BD36"/>
    <mergeCell ref="AU34:BD34"/>
    <mergeCell ref="CH6:CH8"/>
    <mergeCell ref="CC7:CC8"/>
    <mergeCell ref="BP11:CB11"/>
    <mergeCell ref="CC5:CH5"/>
    <mergeCell ref="CC6:CD6"/>
    <mergeCell ref="CD7:CD8"/>
    <mergeCell ref="CF7:CF8"/>
    <mergeCell ref="CG7:CG8"/>
    <mergeCell ref="CE6:CG6"/>
    <mergeCell ref="BP9:CB9"/>
    <mergeCell ref="CE7:CE8"/>
    <mergeCell ref="AU10:BD10"/>
    <mergeCell ref="E12:AI12"/>
    <mergeCell ref="AJ12:AT12"/>
    <mergeCell ref="AU12:BD12"/>
    <mergeCell ref="A23:D23"/>
    <mergeCell ref="AU29:BD32"/>
    <mergeCell ref="E23:AM23"/>
    <mergeCell ref="AW24:BI24"/>
    <mergeCell ref="AN24:AV24"/>
    <mergeCell ref="A22:D22"/>
    <mergeCell ref="E22:AM22"/>
    <mergeCell ref="A12:D12"/>
    <mergeCell ref="A39:D39"/>
    <mergeCell ref="E39:AI39"/>
    <mergeCell ref="AJ39:AT39"/>
    <mergeCell ref="AU39:BD39"/>
    <mergeCell ref="BE39:BO39"/>
    <mergeCell ref="BP39:CB39"/>
    <mergeCell ref="BJ24:CB24"/>
    <mergeCell ref="BP33:CB33"/>
    <mergeCell ref="A45:D45"/>
    <mergeCell ref="E45:AI45"/>
    <mergeCell ref="AJ45:AT45"/>
    <mergeCell ref="AU45:BD45"/>
    <mergeCell ref="BE45:BO45"/>
    <mergeCell ref="BP45:CB45"/>
    <mergeCell ref="A29:D32"/>
    <mergeCell ref="A36:D36"/>
    <mergeCell ref="AJ35:AT35"/>
    <mergeCell ref="AJ40:AT40"/>
    <mergeCell ref="AU40:BD40"/>
    <mergeCell ref="E33:AI33"/>
    <mergeCell ref="AU35:BD35"/>
    <mergeCell ref="E34:AI34"/>
    <mergeCell ref="AU38:BD38"/>
    <mergeCell ref="AJ36:AT36"/>
  </mergeCells>
  <pageMargins left="0.78740157480314965" right="0.39370078740157483" top="0.59055118110236227" bottom="0.39370078740157483" header="0.27559055118110237" footer="0.27559055118110237"/>
  <pageSetup paperSize="9" scale="84" orientation="landscape" r:id="rId1"/>
  <headerFooter alignWithMargins="0"/>
  <rowBreaks count="1" manualBreakCount="1">
    <brk id="26" max="8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1DEF"/>
  </sheetPr>
  <dimension ref="A1:CH47"/>
  <sheetViews>
    <sheetView topLeftCell="A25" workbookViewId="0">
      <selection activeCell="CD35" sqref="CD35"/>
    </sheetView>
  </sheetViews>
  <sheetFormatPr defaultColWidth="1.109375" defaultRowHeight="13.2" x14ac:dyDescent="0.25"/>
  <cols>
    <col min="1" max="18" width="1.109375" style="71"/>
    <col min="19" max="19" width="2.109375" style="71" customWidth="1"/>
    <col min="20" max="33" width="1.109375" style="71"/>
    <col min="34" max="34" width="0.33203125" style="71" customWidth="1"/>
    <col min="35" max="35" width="2.88671875" style="71" hidden="1" customWidth="1"/>
    <col min="36" max="80" width="1.109375" style="71"/>
    <col min="81" max="81" width="10.109375" style="71" customWidth="1"/>
    <col min="82" max="82" width="11" style="71" customWidth="1"/>
    <col min="83" max="83" width="8.5546875" style="71" customWidth="1"/>
    <col min="84" max="84" width="9.88671875" style="71" customWidth="1"/>
    <col min="85" max="85" width="8.6640625" style="71" customWidth="1"/>
    <col min="86" max="86" width="15.109375" style="71" customWidth="1"/>
    <col min="87" max="16384" width="1.109375" style="71"/>
  </cols>
  <sheetData>
    <row r="1" spans="1:86" s="65" customFormat="1" ht="15.6" x14ac:dyDescent="0.3">
      <c r="A1" s="70" t="s">
        <v>245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6" s="67" customFormat="1" ht="7.8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6" s="65" customFormat="1" ht="15.6" x14ac:dyDescent="0.3">
      <c r="A3" s="70" t="s">
        <v>207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</row>
    <row r="5" spans="1:86" ht="12.75" customHeight="1" x14ac:dyDescent="0.25">
      <c r="A5" s="232" t="s">
        <v>56</v>
      </c>
      <c r="B5" s="232"/>
      <c r="C5" s="232"/>
      <c r="D5" s="232"/>
      <c r="E5" s="361" t="s">
        <v>110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232" t="s">
        <v>208</v>
      </c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 t="s">
        <v>201</v>
      </c>
      <c r="AV5" s="232"/>
      <c r="AW5" s="232"/>
      <c r="AX5" s="232"/>
      <c r="AY5" s="232"/>
      <c r="AZ5" s="232"/>
      <c r="BA5" s="232"/>
      <c r="BB5" s="232"/>
      <c r="BC5" s="232"/>
      <c r="BD5" s="232"/>
      <c r="BE5" s="232" t="s">
        <v>209</v>
      </c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361" t="s">
        <v>113</v>
      </c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236" t="s">
        <v>61</v>
      </c>
      <c r="CD5" s="236"/>
      <c r="CE5" s="236"/>
      <c r="CF5" s="236"/>
      <c r="CG5" s="236"/>
      <c r="CH5" s="236"/>
    </row>
    <row r="6" spans="1:86" ht="78.75" customHeight="1" x14ac:dyDescent="0.25">
      <c r="A6" s="232"/>
      <c r="B6" s="232"/>
      <c r="C6" s="232"/>
      <c r="D6" s="232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232" t="s">
        <v>66</v>
      </c>
      <c r="CD6" s="232"/>
      <c r="CE6" s="239" t="s">
        <v>67</v>
      </c>
      <c r="CF6" s="240"/>
      <c r="CG6" s="241"/>
      <c r="CH6" s="232" t="s">
        <v>68</v>
      </c>
    </row>
    <row r="7" spans="1:86" x14ac:dyDescent="0.25">
      <c r="A7" s="232"/>
      <c r="B7" s="232"/>
      <c r="C7" s="232"/>
      <c r="D7" s="232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231" t="s">
        <v>69</v>
      </c>
      <c r="CD7" s="231" t="s">
        <v>70</v>
      </c>
      <c r="CE7" s="387" t="s">
        <v>71</v>
      </c>
      <c r="CF7" s="231" t="s">
        <v>69</v>
      </c>
      <c r="CG7" s="231" t="s">
        <v>70</v>
      </c>
      <c r="CH7" s="232"/>
    </row>
    <row r="8" spans="1:86" x14ac:dyDescent="0.25">
      <c r="A8" s="232"/>
      <c r="B8" s="232"/>
      <c r="C8" s="232"/>
      <c r="D8" s="232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231"/>
      <c r="CD8" s="231"/>
      <c r="CE8" s="388"/>
      <c r="CF8" s="231"/>
      <c r="CG8" s="231"/>
      <c r="CH8" s="232"/>
    </row>
    <row r="9" spans="1:86" x14ac:dyDescent="0.25">
      <c r="A9" s="361">
        <v>1</v>
      </c>
      <c r="B9" s="361"/>
      <c r="C9" s="361"/>
      <c r="D9" s="361"/>
      <c r="E9" s="361">
        <v>2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>
        <v>3</v>
      </c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>
        <v>4</v>
      </c>
      <c r="AV9" s="361"/>
      <c r="AW9" s="361"/>
      <c r="AX9" s="361"/>
      <c r="AY9" s="361"/>
      <c r="AZ9" s="361"/>
      <c r="BA9" s="361"/>
      <c r="BB9" s="361"/>
      <c r="BC9" s="361"/>
      <c r="BD9" s="361"/>
      <c r="BE9" s="361">
        <v>5</v>
      </c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 t="s">
        <v>124</v>
      </c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73">
        <v>7</v>
      </c>
      <c r="CD9" s="73">
        <v>8</v>
      </c>
      <c r="CE9" s="73">
        <v>9</v>
      </c>
      <c r="CF9" s="73">
        <v>10</v>
      </c>
      <c r="CG9" s="73">
        <v>11</v>
      </c>
      <c r="CH9" s="73">
        <v>12</v>
      </c>
    </row>
    <row r="10" spans="1:86" ht="27" customHeight="1" x14ac:dyDescent="0.25">
      <c r="A10" s="354">
        <v>1</v>
      </c>
      <c r="B10" s="354"/>
      <c r="C10" s="354"/>
      <c r="D10" s="354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88"/>
      <c r="CD10" s="88"/>
      <c r="CE10" s="83"/>
      <c r="CF10" s="83"/>
      <c r="CG10" s="83"/>
      <c r="CH10" s="83"/>
    </row>
    <row r="11" spans="1:86" ht="26.4" customHeight="1" x14ac:dyDescent="0.25">
      <c r="A11" s="354">
        <v>3</v>
      </c>
      <c r="B11" s="354"/>
      <c r="C11" s="354"/>
      <c r="D11" s="354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88"/>
      <c r="CD11" s="88"/>
      <c r="CE11" s="83"/>
      <c r="CF11" s="83"/>
      <c r="CG11" s="83"/>
      <c r="CH11" s="83"/>
    </row>
    <row r="12" spans="1:86" ht="27" customHeight="1" x14ac:dyDescent="0.25">
      <c r="A12" s="354">
        <v>9</v>
      </c>
      <c r="B12" s="354"/>
      <c r="C12" s="354"/>
      <c r="D12" s="354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88"/>
      <c r="CD12" s="88"/>
      <c r="CE12" s="83"/>
      <c r="CF12" s="83"/>
      <c r="CG12" s="83"/>
      <c r="CH12" s="83"/>
    </row>
    <row r="13" spans="1:86" x14ac:dyDescent="0.25">
      <c r="A13" s="398" t="s">
        <v>214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7"/>
      <c r="AJ13" s="236" t="s">
        <v>1</v>
      </c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 t="s">
        <v>1</v>
      </c>
      <c r="AV13" s="236"/>
      <c r="AW13" s="236"/>
      <c r="AX13" s="236"/>
      <c r="AY13" s="236"/>
      <c r="AZ13" s="236"/>
      <c r="BA13" s="236"/>
      <c r="BB13" s="236"/>
      <c r="BC13" s="236"/>
      <c r="BD13" s="236"/>
      <c r="BE13" s="236" t="s">
        <v>1</v>
      </c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403">
        <f>SUM(BP10:BP12)</f>
        <v>0</v>
      </c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89">
        <f>SUM(CC11:CC12)</f>
        <v>0</v>
      </c>
      <c r="CD13" s="89">
        <f>SUM(CD10:CD12)</f>
        <v>0</v>
      </c>
      <c r="CE13" s="83"/>
      <c r="CF13" s="83"/>
      <c r="CG13" s="83"/>
      <c r="CH13" s="83"/>
    </row>
    <row r="14" spans="1:86" ht="111" customHeight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45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6"/>
      <c r="CD14" s="146"/>
      <c r="CE14" s="137"/>
      <c r="CF14" s="137"/>
      <c r="CG14" s="137"/>
      <c r="CH14" s="137"/>
    </row>
    <row r="15" spans="1:86" s="65" customFormat="1" ht="15.6" x14ac:dyDescent="0.3">
      <c r="A15" s="70" t="s">
        <v>215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</row>
    <row r="17" spans="1:86" x14ac:dyDescent="0.25">
      <c r="A17" s="232" t="s">
        <v>56</v>
      </c>
      <c r="B17" s="232"/>
      <c r="C17" s="232"/>
      <c r="D17" s="232"/>
      <c r="E17" s="361" t="s">
        <v>110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232" t="s">
        <v>216</v>
      </c>
      <c r="AO17" s="232"/>
      <c r="AP17" s="232"/>
      <c r="AQ17" s="232"/>
      <c r="AR17" s="232"/>
      <c r="AS17" s="232"/>
      <c r="AT17" s="232"/>
      <c r="AU17" s="232"/>
      <c r="AV17" s="232"/>
      <c r="AW17" s="232" t="s">
        <v>217</v>
      </c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361" t="s">
        <v>113</v>
      </c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236" t="s">
        <v>61</v>
      </c>
      <c r="CD17" s="236"/>
      <c r="CE17" s="236"/>
      <c r="CF17" s="236"/>
      <c r="CG17" s="236"/>
      <c r="CH17" s="236"/>
    </row>
    <row r="18" spans="1:86" ht="80.25" customHeight="1" x14ac:dyDescent="0.25">
      <c r="A18" s="232"/>
      <c r="B18" s="232"/>
      <c r="C18" s="232"/>
      <c r="D18" s="232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232" t="s">
        <v>66</v>
      </c>
      <c r="CD18" s="232"/>
      <c r="CE18" s="232" t="s">
        <v>67</v>
      </c>
      <c r="CF18" s="232"/>
      <c r="CG18" s="232"/>
      <c r="CH18" s="232" t="s">
        <v>68</v>
      </c>
    </row>
    <row r="19" spans="1:86" x14ac:dyDescent="0.25">
      <c r="A19" s="232"/>
      <c r="B19" s="232"/>
      <c r="C19" s="232"/>
      <c r="D19" s="232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231" t="s">
        <v>69</v>
      </c>
      <c r="CD19" s="231" t="s">
        <v>70</v>
      </c>
      <c r="CE19" s="231" t="s">
        <v>71</v>
      </c>
      <c r="CF19" s="231" t="s">
        <v>69</v>
      </c>
      <c r="CG19" s="231" t="s">
        <v>70</v>
      </c>
      <c r="CH19" s="232"/>
    </row>
    <row r="20" spans="1:86" x14ac:dyDescent="0.25">
      <c r="A20" s="232"/>
      <c r="B20" s="232"/>
      <c r="C20" s="232"/>
      <c r="D20" s="232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231"/>
      <c r="CD20" s="231"/>
      <c r="CE20" s="231"/>
      <c r="CF20" s="231"/>
      <c r="CG20" s="231"/>
      <c r="CH20" s="232"/>
    </row>
    <row r="21" spans="1:86" x14ac:dyDescent="0.25">
      <c r="A21" s="361">
        <v>1</v>
      </c>
      <c r="B21" s="361"/>
      <c r="C21" s="361"/>
      <c r="D21" s="361"/>
      <c r="E21" s="361">
        <v>2</v>
      </c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>
        <v>3</v>
      </c>
      <c r="AO21" s="361"/>
      <c r="AP21" s="361"/>
      <c r="AQ21" s="361"/>
      <c r="AR21" s="361"/>
      <c r="AS21" s="361"/>
      <c r="AT21" s="361"/>
      <c r="AU21" s="361"/>
      <c r="AV21" s="361"/>
      <c r="AW21" s="361">
        <v>4</v>
      </c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 t="s">
        <v>114</v>
      </c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73">
        <v>6</v>
      </c>
      <c r="CD21" s="73">
        <v>7</v>
      </c>
      <c r="CE21" s="73">
        <v>8</v>
      </c>
      <c r="CF21" s="73">
        <v>9</v>
      </c>
      <c r="CG21" s="73">
        <v>10</v>
      </c>
      <c r="CH21" s="73">
        <v>11</v>
      </c>
    </row>
    <row r="22" spans="1:86" x14ac:dyDescent="0.25">
      <c r="A22" s="354">
        <v>1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6"/>
      <c r="AO22" s="356"/>
      <c r="AP22" s="356"/>
      <c r="AQ22" s="356"/>
      <c r="AR22" s="356"/>
      <c r="AS22" s="356"/>
      <c r="AT22" s="356"/>
      <c r="AU22" s="356"/>
      <c r="AV22" s="356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89">
        <f>AN22*AW22</f>
        <v>0</v>
      </c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1"/>
      <c r="CC22" s="133"/>
      <c r="CD22" s="131">
        <f>BJ22</f>
        <v>0</v>
      </c>
      <c r="CE22" s="133"/>
      <c r="CF22" s="133"/>
      <c r="CG22" s="133"/>
      <c r="CH22" s="131">
        <v>0</v>
      </c>
    </row>
    <row r="23" spans="1:86" x14ac:dyDescent="0.25">
      <c r="A23" s="398" t="s">
        <v>219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7"/>
      <c r="AN23" s="356"/>
      <c r="AO23" s="356"/>
      <c r="AP23" s="356"/>
      <c r="AQ23" s="356"/>
      <c r="AR23" s="356"/>
      <c r="AS23" s="356"/>
      <c r="AT23" s="356"/>
      <c r="AU23" s="356"/>
      <c r="AV23" s="356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83">
        <f>SUM(BJ22:CB22)</f>
        <v>0</v>
      </c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133"/>
      <c r="CD23" s="134">
        <f>SUM(CD22:CD22)</f>
        <v>0</v>
      </c>
      <c r="CE23" s="133"/>
      <c r="CF23" s="133"/>
      <c r="CG23" s="133"/>
      <c r="CH23" s="134">
        <f>SUM(CH22:CH22)</f>
        <v>0</v>
      </c>
    </row>
    <row r="24" spans="1:86" s="65" customFormat="1" ht="15.6" x14ac:dyDescent="0.3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</row>
    <row r="25" spans="1:86" s="65" customFormat="1" ht="15.6" x14ac:dyDescent="0.3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</row>
    <row r="26" spans="1:86" s="65" customFormat="1" ht="15.6" x14ac:dyDescent="0.3">
      <c r="A26" s="70" t="s">
        <v>220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8" spans="1:86" x14ac:dyDescent="0.25">
      <c r="A28" s="232" t="s">
        <v>56</v>
      </c>
      <c r="B28" s="232"/>
      <c r="C28" s="232"/>
      <c r="D28" s="232"/>
      <c r="E28" s="361" t="s">
        <v>2</v>
      </c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232" t="s">
        <v>221</v>
      </c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 t="s">
        <v>222</v>
      </c>
      <c r="AV28" s="232"/>
      <c r="AW28" s="232"/>
      <c r="AX28" s="232"/>
      <c r="AY28" s="232"/>
      <c r="AZ28" s="232"/>
      <c r="BA28" s="232"/>
      <c r="BB28" s="232"/>
      <c r="BC28" s="232"/>
      <c r="BD28" s="232"/>
      <c r="BE28" s="361" t="s">
        <v>223</v>
      </c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 t="s">
        <v>113</v>
      </c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236" t="s">
        <v>61</v>
      </c>
      <c r="CD28" s="236"/>
      <c r="CE28" s="236"/>
      <c r="CF28" s="236"/>
      <c r="CG28" s="236"/>
      <c r="CH28" s="236"/>
    </row>
    <row r="29" spans="1:86" ht="79.5" customHeight="1" x14ac:dyDescent="0.25">
      <c r="A29" s="232"/>
      <c r="B29" s="232"/>
      <c r="C29" s="232"/>
      <c r="D29" s="232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232" t="s">
        <v>66</v>
      </c>
      <c r="CD29" s="232"/>
      <c r="CE29" s="232" t="s">
        <v>67</v>
      </c>
      <c r="CF29" s="232"/>
      <c r="CG29" s="232"/>
      <c r="CH29" s="232" t="s">
        <v>68</v>
      </c>
    </row>
    <row r="30" spans="1:86" x14ac:dyDescent="0.25">
      <c r="A30" s="232"/>
      <c r="B30" s="232"/>
      <c r="C30" s="232"/>
      <c r="D30" s="232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231" t="s">
        <v>69</v>
      </c>
      <c r="CD30" s="231" t="s">
        <v>70</v>
      </c>
      <c r="CE30" s="231" t="s">
        <v>71</v>
      </c>
      <c r="CF30" s="231" t="s">
        <v>69</v>
      </c>
      <c r="CG30" s="231" t="s">
        <v>70</v>
      </c>
      <c r="CH30" s="232"/>
    </row>
    <row r="31" spans="1:86" x14ac:dyDescent="0.25">
      <c r="A31" s="232"/>
      <c r="B31" s="232"/>
      <c r="C31" s="232"/>
      <c r="D31" s="232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231"/>
      <c r="CD31" s="231"/>
      <c r="CE31" s="231"/>
      <c r="CF31" s="231"/>
      <c r="CG31" s="231"/>
      <c r="CH31" s="232"/>
    </row>
    <row r="32" spans="1:86" x14ac:dyDescent="0.25">
      <c r="A32" s="361">
        <v>1</v>
      </c>
      <c r="B32" s="361"/>
      <c r="C32" s="361"/>
      <c r="D32" s="361"/>
      <c r="E32" s="361">
        <v>2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>
        <v>3</v>
      </c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>
        <v>4</v>
      </c>
      <c r="AV32" s="361"/>
      <c r="AW32" s="361"/>
      <c r="AX32" s="361"/>
      <c r="AY32" s="361"/>
      <c r="AZ32" s="361"/>
      <c r="BA32" s="361"/>
      <c r="BB32" s="361"/>
      <c r="BC32" s="361"/>
      <c r="BD32" s="361"/>
      <c r="BE32" s="361">
        <v>5</v>
      </c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 t="s">
        <v>224</v>
      </c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73">
        <v>7</v>
      </c>
      <c r="CD32" s="73">
        <v>8</v>
      </c>
      <c r="CE32" s="73">
        <v>9</v>
      </c>
      <c r="CF32" s="73">
        <v>10</v>
      </c>
      <c r="CG32" s="73">
        <v>11</v>
      </c>
      <c r="CH32" s="73">
        <v>12</v>
      </c>
    </row>
    <row r="33" spans="1:86" ht="22.5" customHeight="1" x14ac:dyDescent="0.25">
      <c r="A33" s="354">
        <v>1</v>
      </c>
      <c r="B33" s="354"/>
      <c r="C33" s="354"/>
      <c r="D33" s="354"/>
      <c r="E33" s="399" t="s">
        <v>246</v>
      </c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400">
        <f>415+195</f>
        <v>610</v>
      </c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>
        <f>1154.82*1.2</f>
        <v>1385.7839999999999</v>
      </c>
      <c r="AV33" s="400"/>
      <c r="AW33" s="400"/>
      <c r="AX33" s="400"/>
      <c r="AY33" s="400"/>
      <c r="AZ33" s="400"/>
      <c r="BA33" s="400"/>
      <c r="BB33" s="400"/>
      <c r="BC33" s="400"/>
      <c r="BD33" s="400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400">
        <v>845328.23</v>
      </c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83"/>
      <c r="CD33" s="143">
        <v>845328.23</v>
      </c>
      <c r="CE33" s="83"/>
      <c r="CF33" s="83"/>
      <c r="CG33" s="83"/>
      <c r="CH33" s="143"/>
    </row>
    <row r="34" spans="1:86" ht="19.5" customHeight="1" x14ac:dyDescent="0.25">
      <c r="A34" s="354">
        <v>2</v>
      </c>
      <c r="B34" s="354"/>
      <c r="C34" s="354"/>
      <c r="D34" s="354"/>
      <c r="E34" s="399" t="s">
        <v>247</v>
      </c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00">
        <f>(13+(330/3*2))</f>
        <v>233</v>
      </c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>
        <f>1194.13*1.2</f>
        <v>1432.9560000000001</v>
      </c>
      <c r="AV34" s="400"/>
      <c r="AW34" s="400"/>
      <c r="AX34" s="400"/>
      <c r="AY34" s="400"/>
      <c r="AZ34" s="400"/>
      <c r="BA34" s="400"/>
      <c r="BB34" s="400"/>
      <c r="BC34" s="400"/>
      <c r="BD34" s="400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400">
        <f>AJ34*AU34-11000</f>
        <v>322878.74800000002</v>
      </c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83"/>
      <c r="CD34" s="143">
        <f>BP34-CH34</f>
        <v>322878.74800000002</v>
      </c>
      <c r="CE34" s="83"/>
      <c r="CF34" s="83"/>
      <c r="CG34" s="83"/>
      <c r="CH34" s="82"/>
    </row>
    <row r="35" spans="1:86" ht="17.25" customHeight="1" x14ac:dyDescent="0.25">
      <c r="A35" s="354">
        <v>3</v>
      </c>
      <c r="B35" s="354"/>
      <c r="C35" s="354"/>
      <c r="D35" s="354"/>
      <c r="E35" s="355" t="s">
        <v>248</v>
      </c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400">
        <v>112500</v>
      </c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1">
        <f>9.23*1.2</f>
        <v>11.076000000000001</v>
      </c>
      <c r="AV35" s="401"/>
      <c r="AW35" s="401"/>
      <c r="AX35" s="401"/>
      <c r="AY35" s="401"/>
      <c r="AZ35" s="401"/>
      <c r="BA35" s="401"/>
      <c r="BB35" s="401"/>
      <c r="BC35" s="401"/>
      <c r="BD35" s="401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400">
        <f>AJ35*AU35</f>
        <v>1246050</v>
      </c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83"/>
      <c r="CD35" s="143">
        <f>BP35-CH35</f>
        <v>1246050</v>
      </c>
      <c r="CE35" s="83"/>
      <c r="CF35" s="83"/>
      <c r="CG35" s="83"/>
      <c r="CH35" s="143"/>
    </row>
    <row r="36" spans="1:86" x14ac:dyDescent="0.25">
      <c r="A36" s="398" t="s">
        <v>239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7"/>
      <c r="AJ36" s="236" t="s">
        <v>1</v>
      </c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 t="s">
        <v>1</v>
      </c>
      <c r="AV36" s="236"/>
      <c r="AW36" s="236"/>
      <c r="AX36" s="236"/>
      <c r="AY36" s="236"/>
      <c r="AZ36" s="236"/>
      <c r="BA36" s="236"/>
      <c r="BB36" s="236"/>
      <c r="BC36" s="236"/>
      <c r="BD36" s="236"/>
      <c r="BE36" s="236" t="s">
        <v>1</v>
      </c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403">
        <f>SUM(BP33:CB35)</f>
        <v>2414256.9780000001</v>
      </c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83"/>
      <c r="CD36" s="84">
        <f>SUM(CD33:CD35)</f>
        <v>2414256.9780000001</v>
      </c>
      <c r="CE36" s="84"/>
      <c r="CF36" s="84">
        <f>SUM(CF33:CF35)</f>
        <v>0</v>
      </c>
      <c r="CG36" s="84">
        <f>SUM(CG33:CG35)</f>
        <v>0</v>
      </c>
      <c r="CH36" s="84">
        <f>SUM(CH33:CH35)</f>
        <v>0</v>
      </c>
    </row>
    <row r="37" spans="1:86" s="90" customFormat="1" ht="15.6" x14ac:dyDescent="0.3"/>
    <row r="38" spans="1:86" s="65" customFormat="1" ht="15.6" x14ac:dyDescent="0.3">
      <c r="A38" s="70" t="s">
        <v>240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40" spans="1:86" ht="12.75" customHeight="1" x14ac:dyDescent="0.25">
      <c r="A40" s="232" t="s">
        <v>56</v>
      </c>
      <c r="B40" s="232"/>
      <c r="C40" s="232"/>
      <c r="D40" s="232"/>
      <c r="E40" s="361" t="s">
        <v>2</v>
      </c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 t="s">
        <v>241</v>
      </c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232" t="s">
        <v>242</v>
      </c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 t="s">
        <v>243</v>
      </c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6" t="s">
        <v>61</v>
      </c>
      <c r="CD40" s="236"/>
      <c r="CE40" s="236"/>
      <c r="CF40" s="236"/>
      <c r="CG40" s="236"/>
      <c r="CH40" s="236"/>
    </row>
    <row r="41" spans="1:86" ht="80.25" customHeight="1" x14ac:dyDescent="0.25">
      <c r="A41" s="232"/>
      <c r="B41" s="232"/>
      <c r="C41" s="232"/>
      <c r="D41" s="232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 t="s">
        <v>66</v>
      </c>
      <c r="CD41" s="232"/>
      <c r="CE41" s="232" t="s">
        <v>67</v>
      </c>
      <c r="CF41" s="232"/>
      <c r="CG41" s="232"/>
      <c r="CH41" s="232" t="s">
        <v>68</v>
      </c>
    </row>
    <row r="42" spans="1:86" x14ac:dyDescent="0.25">
      <c r="A42" s="232"/>
      <c r="B42" s="232"/>
      <c r="C42" s="232"/>
      <c r="D42" s="232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1" t="s">
        <v>69</v>
      </c>
      <c r="CD42" s="231" t="s">
        <v>70</v>
      </c>
      <c r="CE42" s="231" t="s">
        <v>71</v>
      </c>
      <c r="CF42" s="231" t="s">
        <v>69</v>
      </c>
      <c r="CG42" s="231" t="s">
        <v>70</v>
      </c>
      <c r="CH42" s="232"/>
    </row>
    <row r="43" spans="1:86" x14ac:dyDescent="0.25">
      <c r="A43" s="232"/>
      <c r="B43" s="232"/>
      <c r="C43" s="232"/>
      <c r="D43" s="232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1"/>
      <c r="CD43" s="231"/>
      <c r="CE43" s="231"/>
      <c r="CF43" s="231"/>
      <c r="CG43" s="231"/>
      <c r="CH43" s="232"/>
    </row>
    <row r="44" spans="1:86" x14ac:dyDescent="0.25">
      <c r="A44" s="361">
        <v>1</v>
      </c>
      <c r="B44" s="361"/>
      <c r="C44" s="361"/>
      <c r="D44" s="361"/>
      <c r="E44" s="361">
        <v>2</v>
      </c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>
        <v>3</v>
      </c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>
        <v>4</v>
      </c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 t="s">
        <v>114</v>
      </c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73">
        <v>6</v>
      </c>
      <c r="CD44" s="73">
        <v>7</v>
      </c>
      <c r="CE44" s="73">
        <v>8</v>
      </c>
      <c r="CF44" s="73">
        <v>9</v>
      </c>
      <c r="CG44" s="73">
        <v>10</v>
      </c>
      <c r="CH44" s="73">
        <v>11</v>
      </c>
    </row>
    <row r="45" spans="1:86" x14ac:dyDescent="0.25">
      <c r="A45" s="35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83"/>
      <c r="CD45" s="83"/>
      <c r="CE45" s="83"/>
      <c r="CF45" s="83"/>
      <c r="CG45" s="83"/>
      <c r="CH45" s="83"/>
    </row>
    <row r="46" spans="1:86" x14ac:dyDescent="0.25">
      <c r="A46" s="228" t="s">
        <v>244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30"/>
      <c r="AR46" s="236" t="s">
        <v>1</v>
      </c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 t="s">
        <v>1</v>
      </c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 t="s">
        <v>1</v>
      </c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83"/>
      <c r="CD46" s="83"/>
      <c r="CE46" s="83"/>
      <c r="CF46" s="83"/>
      <c r="CG46" s="83"/>
      <c r="CH46" s="83"/>
    </row>
    <row r="47" spans="1:86" s="90" customFormat="1" ht="15.6" x14ac:dyDescent="0.3"/>
  </sheetData>
  <mergeCells count="144">
    <mergeCell ref="A46:AQ46"/>
    <mergeCell ref="AR46:BC46"/>
    <mergeCell ref="BD46:BN46"/>
    <mergeCell ref="BO46:CB46"/>
    <mergeCell ref="A44:D44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CC40:CH40"/>
    <mergeCell ref="CC41:CD41"/>
    <mergeCell ref="CE41:CG41"/>
    <mergeCell ref="CH41:CH43"/>
    <mergeCell ref="CC42:CC43"/>
    <mergeCell ref="CD42:CD43"/>
    <mergeCell ref="CE42:CE43"/>
    <mergeCell ref="CF42:CF43"/>
    <mergeCell ref="CG42:CG43"/>
    <mergeCell ref="A36:AI36"/>
    <mergeCell ref="AJ36:AT36"/>
    <mergeCell ref="AU36:BD36"/>
    <mergeCell ref="BE36:BO36"/>
    <mergeCell ref="BP36:CB36"/>
    <mergeCell ref="A40:D43"/>
    <mergeCell ref="E40:AQ43"/>
    <mergeCell ref="A34:D34"/>
    <mergeCell ref="E34:AI34"/>
    <mergeCell ref="AJ34:AT34"/>
    <mergeCell ref="AU34:BD34"/>
    <mergeCell ref="BE34:BO34"/>
    <mergeCell ref="BP34:CB34"/>
    <mergeCell ref="AR40:BC43"/>
    <mergeCell ref="BD40:BN43"/>
    <mergeCell ref="BO40:CB43"/>
    <mergeCell ref="A35:D35"/>
    <mergeCell ref="E35:AI35"/>
    <mergeCell ref="AJ35:AT35"/>
    <mergeCell ref="AU35:BD35"/>
    <mergeCell ref="BE35:BO35"/>
    <mergeCell ref="BP35:CB35"/>
    <mergeCell ref="A32:D32"/>
    <mergeCell ref="E32:AI32"/>
    <mergeCell ref="AJ32:AT32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CC28:CH28"/>
    <mergeCell ref="CC29:CD29"/>
    <mergeCell ref="CE29:CG29"/>
    <mergeCell ref="CH29:CH31"/>
    <mergeCell ref="CC30:CC31"/>
    <mergeCell ref="CD30:CD31"/>
    <mergeCell ref="CE30:CE31"/>
    <mergeCell ref="CF30:CF31"/>
    <mergeCell ref="CG30:CG31"/>
    <mergeCell ref="A23:AM23"/>
    <mergeCell ref="AN23:AV23"/>
    <mergeCell ref="AW23:BI23"/>
    <mergeCell ref="BJ23:CB23"/>
    <mergeCell ref="A28:D31"/>
    <mergeCell ref="E28:AI31"/>
    <mergeCell ref="AJ28:AT31"/>
    <mergeCell ref="AU28:BD31"/>
    <mergeCell ref="BE28:BO31"/>
    <mergeCell ref="BP28:CB31"/>
    <mergeCell ref="A21:D21"/>
    <mergeCell ref="E21:AM21"/>
    <mergeCell ref="AN21:AV21"/>
    <mergeCell ref="AW21:BI21"/>
    <mergeCell ref="BJ21:CB21"/>
    <mergeCell ref="A22:D22"/>
    <mergeCell ref="E22:AM22"/>
    <mergeCell ref="AN22:AV22"/>
    <mergeCell ref="AW22:BI22"/>
    <mergeCell ref="BJ22:CB22"/>
    <mergeCell ref="CC17:CH17"/>
    <mergeCell ref="CC18:CD18"/>
    <mergeCell ref="CE18:CG18"/>
    <mergeCell ref="CH18:CH20"/>
    <mergeCell ref="CC19:CC20"/>
    <mergeCell ref="CD19:CD20"/>
    <mergeCell ref="CE19:CE20"/>
    <mergeCell ref="CF19:CF20"/>
    <mergeCell ref="CG19:CG20"/>
    <mergeCell ref="A13:AI13"/>
    <mergeCell ref="AJ13:AT13"/>
    <mergeCell ref="AU13:BD13"/>
    <mergeCell ref="BE13:BO13"/>
    <mergeCell ref="BP13:CB13"/>
    <mergeCell ref="A17:D20"/>
    <mergeCell ref="E17:AM20"/>
    <mergeCell ref="AN17:AV20"/>
    <mergeCell ref="AW17:BI20"/>
    <mergeCell ref="BJ17:CB20"/>
    <mergeCell ref="A11:D11"/>
    <mergeCell ref="E11:AI11"/>
    <mergeCell ref="AJ11:AT11"/>
    <mergeCell ref="AU11:BD11"/>
    <mergeCell ref="BE11:BO11"/>
    <mergeCell ref="BP11:CB11"/>
    <mergeCell ref="A12:D12"/>
    <mergeCell ref="E12:AI12"/>
    <mergeCell ref="AJ12:AT12"/>
    <mergeCell ref="AU12:BD12"/>
    <mergeCell ref="BE12:BO12"/>
    <mergeCell ref="BP12:CB12"/>
    <mergeCell ref="A9:D9"/>
    <mergeCell ref="E9:AI9"/>
    <mergeCell ref="AJ9:AT9"/>
    <mergeCell ref="AU9:BD9"/>
    <mergeCell ref="BE9:BO9"/>
    <mergeCell ref="BP9:CB9"/>
    <mergeCell ref="A10:D10"/>
    <mergeCell ref="E10:AI10"/>
    <mergeCell ref="AJ10:AT10"/>
    <mergeCell ref="AU10:BD10"/>
    <mergeCell ref="BE10:BO10"/>
    <mergeCell ref="BP10:CB10"/>
    <mergeCell ref="A5:D8"/>
    <mergeCell ref="E5:AI8"/>
    <mergeCell ref="AJ5:AT8"/>
    <mergeCell ref="AU5:BD8"/>
    <mergeCell ref="BE5:BO8"/>
    <mergeCell ref="BP5:CB8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</mergeCells>
  <pageMargins left="0.78740157480314965" right="0.39370078740157483" top="0.59055118110236227" bottom="0.39370078740157483" header="0.27559055118110237" footer="0.27559055118110237"/>
  <pageSetup paperSize="9" scale="84" orientation="landscape" r:id="rId1"/>
  <headerFooter alignWithMargins="0"/>
  <rowBreaks count="1" manualBreakCount="1">
    <brk id="25" max="8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19EF"/>
  </sheetPr>
  <dimension ref="A1:DH147"/>
  <sheetViews>
    <sheetView topLeftCell="A43" workbookViewId="0">
      <selection activeCell="CD115" sqref="CD115"/>
    </sheetView>
  </sheetViews>
  <sheetFormatPr defaultColWidth="1.109375" defaultRowHeight="13.2" x14ac:dyDescent="0.25"/>
  <cols>
    <col min="1" max="53" width="1.109375" style="71"/>
    <col min="54" max="54" width="0.44140625" style="71" customWidth="1"/>
    <col min="55" max="55" width="1.109375" style="71" hidden="1" customWidth="1"/>
    <col min="56" max="80" width="1.109375" style="71"/>
    <col min="81" max="81" width="9.109375" style="71" customWidth="1"/>
    <col min="82" max="82" width="12.6640625" style="71" customWidth="1"/>
    <col min="83" max="83" width="16.5546875" style="71" customWidth="1"/>
    <col min="84" max="85" width="14.109375" style="71" customWidth="1"/>
    <col min="86" max="86" width="15.44140625" style="71" customWidth="1"/>
    <col min="87" max="87" width="15.109375" style="71" customWidth="1"/>
    <col min="88" max="105" width="1.109375" style="71"/>
    <col min="106" max="106" width="15.6640625" style="71" customWidth="1"/>
    <col min="107" max="110" width="1.109375" style="71"/>
    <col min="111" max="111" width="14.33203125" style="71" customWidth="1"/>
    <col min="112" max="112" width="28.44140625" style="71" customWidth="1"/>
    <col min="113" max="16384" width="1.109375" style="71"/>
  </cols>
  <sheetData>
    <row r="1" spans="1:111" s="65" customFormat="1" ht="15.6" x14ac:dyDescent="0.3">
      <c r="A1" s="70" t="s">
        <v>249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</row>
    <row r="2" spans="1:111" s="67" customFormat="1" ht="7.8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111" ht="12.75" customHeight="1" x14ac:dyDescent="0.25">
      <c r="A3" s="365" t="s">
        <v>56</v>
      </c>
      <c r="B3" s="366"/>
      <c r="C3" s="366"/>
      <c r="D3" s="367"/>
      <c r="E3" s="374" t="s">
        <v>110</v>
      </c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  <c r="AN3" s="365" t="s">
        <v>200</v>
      </c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7"/>
      <c r="BD3" s="365" t="s">
        <v>201</v>
      </c>
      <c r="BE3" s="366"/>
      <c r="BF3" s="366"/>
      <c r="BG3" s="366"/>
      <c r="BH3" s="366"/>
      <c r="BI3" s="366"/>
      <c r="BJ3" s="366"/>
      <c r="BK3" s="366"/>
      <c r="BL3" s="366"/>
      <c r="BM3" s="367"/>
      <c r="BN3" s="365" t="s">
        <v>202</v>
      </c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7"/>
      <c r="CC3" s="236" t="s">
        <v>61</v>
      </c>
      <c r="CD3" s="236"/>
      <c r="CE3" s="236"/>
      <c r="CF3" s="236"/>
      <c r="CG3" s="236"/>
      <c r="CH3" s="236"/>
      <c r="CI3" s="236"/>
    </row>
    <row r="4" spans="1:111" ht="78.75" customHeight="1" x14ac:dyDescent="0.25">
      <c r="A4" s="368"/>
      <c r="B4" s="369"/>
      <c r="C4" s="369"/>
      <c r="D4" s="370"/>
      <c r="E4" s="377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9"/>
      <c r="AN4" s="368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70"/>
      <c r="BD4" s="368"/>
      <c r="BE4" s="369"/>
      <c r="BF4" s="369"/>
      <c r="BG4" s="369"/>
      <c r="BH4" s="369"/>
      <c r="BI4" s="369"/>
      <c r="BJ4" s="369"/>
      <c r="BK4" s="369"/>
      <c r="BL4" s="369"/>
      <c r="BM4" s="370"/>
      <c r="BN4" s="368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70"/>
      <c r="CC4" s="232" t="s">
        <v>66</v>
      </c>
      <c r="CD4" s="232"/>
      <c r="CE4" s="239" t="s">
        <v>67</v>
      </c>
      <c r="CF4" s="240"/>
      <c r="CG4" s="240"/>
      <c r="CH4" s="241"/>
      <c r="CI4" s="384" t="s">
        <v>68</v>
      </c>
    </row>
    <row r="5" spans="1:111" ht="12.75" customHeight="1" x14ac:dyDescent="0.25">
      <c r="A5" s="368"/>
      <c r="B5" s="369"/>
      <c r="C5" s="369"/>
      <c r="D5" s="370"/>
      <c r="E5" s="377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9"/>
      <c r="AN5" s="368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70"/>
      <c r="BD5" s="368"/>
      <c r="BE5" s="369"/>
      <c r="BF5" s="369"/>
      <c r="BG5" s="369"/>
      <c r="BH5" s="369"/>
      <c r="BI5" s="369"/>
      <c r="BJ5" s="369"/>
      <c r="BK5" s="369"/>
      <c r="BL5" s="369"/>
      <c r="BM5" s="370"/>
      <c r="BN5" s="368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70"/>
      <c r="CC5" s="231" t="s">
        <v>69</v>
      </c>
      <c r="CD5" s="231" t="s">
        <v>70</v>
      </c>
      <c r="CE5" s="387" t="s">
        <v>71</v>
      </c>
      <c r="CF5" s="231" t="s">
        <v>250</v>
      </c>
      <c r="CG5" s="231" t="s">
        <v>69</v>
      </c>
      <c r="CH5" s="231" t="s">
        <v>70</v>
      </c>
      <c r="CI5" s="385"/>
    </row>
    <row r="6" spans="1:111" ht="12.75" customHeight="1" x14ac:dyDescent="0.25">
      <c r="A6" s="371"/>
      <c r="B6" s="372"/>
      <c r="C6" s="372"/>
      <c r="D6" s="373"/>
      <c r="E6" s="380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  <c r="AN6" s="371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3"/>
      <c r="BD6" s="371"/>
      <c r="BE6" s="372"/>
      <c r="BF6" s="372"/>
      <c r="BG6" s="372"/>
      <c r="BH6" s="372"/>
      <c r="BI6" s="372"/>
      <c r="BJ6" s="372"/>
      <c r="BK6" s="372"/>
      <c r="BL6" s="372"/>
      <c r="BM6" s="373"/>
      <c r="BN6" s="371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3"/>
      <c r="CC6" s="231"/>
      <c r="CD6" s="231"/>
      <c r="CE6" s="388"/>
      <c r="CF6" s="231"/>
      <c r="CG6" s="231"/>
      <c r="CH6" s="231"/>
      <c r="CI6" s="386"/>
    </row>
    <row r="7" spans="1:111" x14ac:dyDescent="0.25">
      <c r="A7" s="361">
        <v>1</v>
      </c>
      <c r="B7" s="361"/>
      <c r="C7" s="361"/>
      <c r="D7" s="361"/>
      <c r="E7" s="361">
        <v>2</v>
      </c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>
        <v>3</v>
      </c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>
        <v>4</v>
      </c>
      <c r="BE7" s="361"/>
      <c r="BF7" s="361"/>
      <c r="BG7" s="361"/>
      <c r="BH7" s="361"/>
      <c r="BI7" s="361"/>
      <c r="BJ7" s="361"/>
      <c r="BK7" s="361"/>
      <c r="BL7" s="361"/>
      <c r="BM7" s="361"/>
      <c r="BN7" s="361" t="s">
        <v>114</v>
      </c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73">
        <v>6</v>
      </c>
      <c r="CD7" s="73">
        <v>7</v>
      </c>
      <c r="CE7" s="73">
        <v>8</v>
      </c>
      <c r="CF7" s="73">
        <v>9</v>
      </c>
      <c r="CG7" s="73">
        <v>9</v>
      </c>
      <c r="CH7" s="73">
        <v>10</v>
      </c>
      <c r="CI7" s="73">
        <v>11</v>
      </c>
    </row>
    <row r="8" spans="1:111" ht="30" customHeight="1" x14ac:dyDescent="0.25">
      <c r="A8" s="354">
        <v>1</v>
      </c>
      <c r="B8" s="354"/>
      <c r="C8" s="354"/>
      <c r="D8" s="354"/>
      <c r="E8" s="355" t="s">
        <v>251</v>
      </c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7">
        <v>15806</v>
      </c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>
        <v>6</v>
      </c>
      <c r="BE8" s="357"/>
      <c r="BF8" s="357"/>
      <c r="BG8" s="357"/>
      <c r="BH8" s="357"/>
      <c r="BI8" s="357"/>
      <c r="BJ8" s="357"/>
      <c r="BK8" s="357"/>
      <c r="BL8" s="357"/>
      <c r="BM8" s="357"/>
      <c r="BN8" s="357">
        <f t="shared" ref="BN8:BN19" si="0">KJ8*KZ8</f>
        <v>94836</v>
      </c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133"/>
      <c r="CD8" s="131">
        <f>BN8-CI8</f>
        <v>94836</v>
      </c>
      <c r="CE8" s="133"/>
      <c r="CF8" s="133"/>
      <c r="CG8" s="133"/>
      <c r="CH8" s="133"/>
      <c r="CI8" s="133">
        <v>0</v>
      </c>
      <c r="DB8" s="149"/>
    </row>
    <row r="9" spans="1:111" ht="30" customHeight="1" x14ac:dyDescent="0.25">
      <c r="A9" s="354"/>
      <c r="B9" s="354"/>
      <c r="C9" s="354"/>
      <c r="D9" s="354"/>
      <c r="E9" s="355" t="s">
        <v>251</v>
      </c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7">
        <v>8000</v>
      </c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>
        <v>5</v>
      </c>
      <c r="BE9" s="357"/>
      <c r="BF9" s="357"/>
      <c r="BG9" s="357"/>
      <c r="BH9" s="357"/>
      <c r="BI9" s="357"/>
      <c r="BJ9" s="357"/>
      <c r="BK9" s="357"/>
      <c r="BL9" s="357"/>
      <c r="BM9" s="357"/>
      <c r="BN9" s="357">
        <f>AN9*BD9</f>
        <v>40000</v>
      </c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133"/>
      <c r="CD9" s="131">
        <f>BN9-CI9</f>
        <v>40000</v>
      </c>
      <c r="CE9" s="133"/>
      <c r="CF9" s="133"/>
      <c r="CG9" s="133"/>
      <c r="CH9" s="133"/>
      <c r="CI9" s="133">
        <v>0</v>
      </c>
    </row>
    <row r="10" spans="1:111" ht="21" customHeight="1" x14ac:dyDescent="0.25">
      <c r="A10" s="354">
        <v>2</v>
      </c>
      <c r="B10" s="354"/>
      <c r="C10" s="354"/>
      <c r="D10" s="354"/>
      <c r="E10" s="355" t="s">
        <v>252</v>
      </c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7">
        <v>12118</v>
      </c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>
        <v>12</v>
      </c>
      <c r="BE10" s="357"/>
      <c r="BF10" s="357"/>
      <c r="BG10" s="357"/>
      <c r="BH10" s="357"/>
      <c r="BI10" s="357"/>
      <c r="BJ10" s="357"/>
      <c r="BK10" s="357"/>
      <c r="BL10" s="357"/>
      <c r="BM10" s="357"/>
      <c r="BN10" s="357">
        <f t="shared" si="0"/>
        <v>145416</v>
      </c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133"/>
      <c r="CD10" s="131">
        <f>BN10</f>
        <v>145416</v>
      </c>
      <c r="CE10" s="133"/>
      <c r="CF10" s="133"/>
      <c r="CG10" s="133"/>
      <c r="CH10" s="133"/>
      <c r="CI10" s="133"/>
    </row>
    <row r="11" spans="1:111" ht="30.75" customHeight="1" x14ac:dyDescent="0.25">
      <c r="A11" s="354">
        <v>3</v>
      </c>
      <c r="B11" s="354"/>
      <c r="C11" s="354"/>
      <c r="D11" s="354"/>
      <c r="E11" s="355" t="s">
        <v>253</v>
      </c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7">
        <v>500</v>
      </c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>
        <v>9</v>
      </c>
      <c r="BE11" s="357"/>
      <c r="BF11" s="357"/>
      <c r="BG11" s="357"/>
      <c r="BH11" s="357"/>
      <c r="BI11" s="357"/>
      <c r="BJ11" s="357"/>
      <c r="BK11" s="357"/>
      <c r="BL11" s="357"/>
      <c r="BM11" s="357"/>
      <c r="BN11" s="357">
        <f>AN11*BD11</f>
        <v>4500</v>
      </c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133"/>
      <c r="CD11" s="131">
        <f>BN11-CI11</f>
        <v>4500</v>
      </c>
      <c r="CE11" s="133"/>
      <c r="CF11" s="133"/>
      <c r="CG11" s="133"/>
      <c r="CH11" s="133"/>
      <c r="CI11" s="133"/>
    </row>
    <row r="12" spans="1:111" ht="27.75" customHeight="1" x14ac:dyDescent="0.25">
      <c r="A12" s="354">
        <v>4</v>
      </c>
      <c r="B12" s="354"/>
      <c r="C12" s="354"/>
      <c r="D12" s="354"/>
      <c r="E12" s="355" t="s">
        <v>254</v>
      </c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7">
        <v>3500</v>
      </c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>
        <v>12</v>
      </c>
      <c r="BE12" s="357"/>
      <c r="BF12" s="357"/>
      <c r="BG12" s="357"/>
      <c r="BH12" s="357"/>
      <c r="BI12" s="357"/>
      <c r="BJ12" s="357"/>
      <c r="BK12" s="357"/>
      <c r="BL12" s="357"/>
      <c r="BM12" s="357"/>
      <c r="BN12" s="357">
        <f t="shared" si="0"/>
        <v>42000</v>
      </c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133"/>
      <c r="CD12" s="131">
        <f>BN12</f>
        <v>42000</v>
      </c>
      <c r="CE12" s="133"/>
      <c r="CF12" s="133"/>
      <c r="CG12" s="133"/>
      <c r="CH12" s="133"/>
      <c r="CI12" s="133"/>
    </row>
    <row r="13" spans="1:111" ht="22.2" customHeight="1" x14ac:dyDescent="0.25">
      <c r="A13" s="354">
        <v>5</v>
      </c>
      <c r="B13" s="354"/>
      <c r="C13" s="354"/>
      <c r="D13" s="354"/>
      <c r="E13" s="355" t="s">
        <v>255</v>
      </c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7">
        <v>1566.75</v>
      </c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>
        <v>12</v>
      </c>
      <c r="BE13" s="357"/>
      <c r="BF13" s="357"/>
      <c r="BG13" s="357"/>
      <c r="BH13" s="357"/>
      <c r="BI13" s="357"/>
      <c r="BJ13" s="357"/>
      <c r="BK13" s="357"/>
      <c r="BL13" s="357"/>
      <c r="BM13" s="357"/>
      <c r="BN13" s="357">
        <f t="shared" si="0"/>
        <v>18801</v>
      </c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133"/>
      <c r="CD13" s="131">
        <f>BN13</f>
        <v>18801</v>
      </c>
      <c r="CE13" s="133"/>
      <c r="CF13" s="133"/>
      <c r="CG13" s="133"/>
      <c r="CH13" s="133"/>
      <c r="CI13" s="133"/>
    </row>
    <row r="14" spans="1:111" ht="27.6" customHeight="1" x14ac:dyDescent="0.25">
      <c r="A14" s="354">
        <v>6</v>
      </c>
      <c r="B14" s="354"/>
      <c r="C14" s="354"/>
      <c r="D14" s="354"/>
      <c r="E14" s="355" t="s">
        <v>256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7">
        <v>6693.54</v>
      </c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>
        <v>12</v>
      </c>
      <c r="BE14" s="357"/>
      <c r="BF14" s="357"/>
      <c r="BG14" s="357"/>
      <c r="BH14" s="357"/>
      <c r="BI14" s="357"/>
      <c r="BJ14" s="357"/>
      <c r="BK14" s="357"/>
      <c r="BL14" s="357"/>
      <c r="BM14" s="357"/>
      <c r="BN14" s="357">
        <f t="shared" si="0"/>
        <v>80322.48</v>
      </c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133"/>
      <c r="CD14" s="131">
        <f>BN14</f>
        <v>80322.48</v>
      </c>
      <c r="CE14" s="133"/>
      <c r="CF14" s="133"/>
      <c r="CG14" s="133"/>
      <c r="CH14" s="133"/>
      <c r="CI14" s="133"/>
    </row>
    <row r="15" spans="1:111" ht="20.25" customHeight="1" x14ac:dyDescent="0.25">
      <c r="A15" s="354">
        <v>7</v>
      </c>
      <c r="B15" s="354"/>
      <c r="C15" s="354"/>
      <c r="D15" s="354"/>
      <c r="E15" s="355" t="s">
        <v>257</v>
      </c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7">
        <f>6800*0.73</f>
        <v>4964</v>
      </c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>
        <v>6</v>
      </c>
      <c r="BE15" s="357"/>
      <c r="BF15" s="357"/>
      <c r="BG15" s="357"/>
      <c r="BH15" s="357"/>
      <c r="BI15" s="357"/>
      <c r="BJ15" s="357"/>
      <c r="BK15" s="357"/>
      <c r="BL15" s="357"/>
      <c r="BM15" s="357"/>
      <c r="BN15" s="357">
        <f t="shared" si="0"/>
        <v>29784</v>
      </c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133"/>
      <c r="CD15" s="131">
        <f>BN15-CI15</f>
        <v>29784</v>
      </c>
      <c r="CE15" s="133"/>
      <c r="CF15" s="133"/>
      <c r="CG15" s="133"/>
      <c r="CH15" s="133"/>
      <c r="CI15" s="133"/>
      <c r="DB15" s="71">
        <f>BN15-(4964*3)</f>
        <v>14892</v>
      </c>
      <c r="DG15" s="149">
        <f>DB15-BN15</f>
        <v>-14892</v>
      </c>
    </row>
    <row r="16" spans="1:111" ht="20.25" customHeight="1" x14ac:dyDescent="0.25">
      <c r="A16" s="354">
        <v>8</v>
      </c>
      <c r="B16" s="354"/>
      <c r="C16" s="354"/>
      <c r="D16" s="354"/>
      <c r="E16" s="355" t="s">
        <v>258</v>
      </c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7">
        <v>4008.43</v>
      </c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>
        <v>1</v>
      </c>
      <c r="BE16" s="357"/>
      <c r="BF16" s="357"/>
      <c r="BG16" s="357"/>
      <c r="BH16" s="357"/>
      <c r="BI16" s="357"/>
      <c r="BJ16" s="357"/>
      <c r="BK16" s="357"/>
      <c r="BL16" s="357"/>
      <c r="BM16" s="357"/>
      <c r="BN16" s="357">
        <f>AN16*BD16</f>
        <v>4008.43</v>
      </c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133"/>
      <c r="CD16" s="131">
        <f>BN16-CI16</f>
        <v>4008.43</v>
      </c>
      <c r="CE16" s="133"/>
      <c r="CF16" s="133"/>
      <c r="CG16" s="133"/>
      <c r="CH16" s="133"/>
      <c r="CI16" s="133"/>
    </row>
    <row r="17" spans="1:111" ht="27.75" customHeight="1" x14ac:dyDescent="0.25">
      <c r="A17" s="354">
        <v>9</v>
      </c>
      <c r="B17" s="354"/>
      <c r="C17" s="354"/>
      <c r="D17" s="354"/>
      <c r="E17" s="355" t="s">
        <v>259</v>
      </c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7">
        <f>10798.9+3567.9</f>
        <v>14366.8</v>
      </c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>
        <v>1</v>
      </c>
      <c r="BE17" s="357"/>
      <c r="BF17" s="357"/>
      <c r="BG17" s="357"/>
      <c r="BH17" s="357"/>
      <c r="BI17" s="357"/>
      <c r="BJ17" s="357"/>
      <c r="BK17" s="357"/>
      <c r="BL17" s="357"/>
      <c r="BM17" s="357"/>
      <c r="BN17" s="357">
        <f t="shared" si="0"/>
        <v>14366.8</v>
      </c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133"/>
      <c r="CD17" s="131">
        <f>BN17-CI17</f>
        <v>14366.8</v>
      </c>
      <c r="CE17" s="133"/>
      <c r="CF17" s="133"/>
      <c r="CG17" s="133"/>
      <c r="CH17" s="133"/>
      <c r="CI17" s="133"/>
      <c r="DB17" s="149"/>
    </row>
    <row r="18" spans="1:111" ht="29.25" customHeight="1" x14ac:dyDescent="0.25">
      <c r="A18" s="354">
        <v>10</v>
      </c>
      <c r="B18" s="354"/>
      <c r="C18" s="354"/>
      <c r="D18" s="354"/>
      <c r="E18" s="355" t="s">
        <v>260</v>
      </c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7">
        <v>1630</v>
      </c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>
        <v>20</v>
      </c>
      <c r="BE18" s="357"/>
      <c r="BF18" s="357"/>
      <c r="BG18" s="357"/>
      <c r="BH18" s="357"/>
      <c r="BI18" s="357"/>
      <c r="BJ18" s="357"/>
      <c r="BK18" s="357"/>
      <c r="BL18" s="357"/>
      <c r="BM18" s="357"/>
      <c r="BN18" s="357">
        <f t="shared" si="0"/>
        <v>32600</v>
      </c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133"/>
      <c r="CD18" s="131">
        <f t="shared" ref="CD18:CD25" si="1">LJ18</f>
        <v>32600</v>
      </c>
      <c r="CE18" s="133"/>
      <c r="CF18" s="133"/>
      <c r="CG18" s="133"/>
      <c r="CH18" s="133"/>
      <c r="CI18" s="133"/>
    </row>
    <row r="19" spans="1:111" ht="19.5" customHeight="1" x14ac:dyDescent="0.25">
      <c r="A19" s="354">
        <v>11</v>
      </c>
      <c r="B19" s="354"/>
      <c r="C19" s="354"/>
      <c r="D19" s="354"/>
      <c r="E19" s="355" t="s">
        <v>261</v>
      </c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7">
        <v>6065.5</v>
      </c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>
        <v>4</v>
      </c>
      <c r="BE19" s="357"/>
      <c r="BF19" s="357"/>
      <c r="BG19" s="357"/>
      <c r="BH19" s="357"/>
      <c r="BI19" s="357"/>
      <c r="BJ19" s="357"/>
      <c r="BK19" s="357"/>
      <c r="BL19" s="357"/>
      <c r="BM19" s="357"/>
      <c r="BN19" s="357">
        <f t="shared" si="0"/>
        <v>24262</v>
      </c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133"/>
      <c r="CD19" s="131">
        <f t="shared" si="1"/>
        <v>24262</v>
      </c>
      <c r="CE19" s="133"/>
      <c r="CF19" s="133"/>
      <c r="CG19" s="133"/>
      <c r="CH19" s="133"/>
      <c r="CI19" s="133"/>
    </row>
    <row r="20" spans="1:111" ht="26.25" customHeight="1" x14ac:dyDescent="0.25">
      <c r="A20" s="354">
        <v>12</v>
      </c>
      <c r="B20" s="354"/>
      <c r="C20" s="354"/>
      <c r="D20" s="354"/>
      <c r="E20" s="355" t="s">
        <v>262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7">
        <v>4880</v>
      </c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>
        <v>11</v>
      </c>
      <c r="BE20" s="357"/>
      <c r="BF20" s="357"/>
      <c r="BG20" s="357"/>
      <c r="BH20" s="357"/>
      <c r="BI20" s="357"/>
      <c r="BJ20" s="357"/>
      <c r="BK20" s="357"/>
      <c r="BL20" s="357"/>
      <c r="BM20" s="357"/>
      <c r="BN20" s="357">
        <f t="shared" ref="BN20:BN25" si="2">KJ20*KZ20</f>
        <v>53680</v>
      </c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133"/>
      <c r="CD20" s="131">
        <f t="shared" si="1"/>
        <v>53680</v>
      </c>
      <c r="CE20" s="150"/>
      <c r="CF20" s="133"/>
      <c r="CG20" s="133"/>
      <c r="CH20" s="131"/>
      <c r="CI20" s="133"/>
      <c r="DB20" s="149"/>
    </row>
    <row r="21" spans="1:111" ht="26.25" customHeight="1" x14ac:dyDescent="0.25">
      <c r="A21" s="354">
        <v>13</v>
      </c>
      <c r="B21" s="354"/>
      <c r="C21" s="354"/>
      <c r="D21" s="354"/>
      <c r="E21" s="392" t="s">
        <v>263</v>
      </c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4"/>
      <c r="AN21" s="389">
        <v>12000</v>
      </c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1"/>
      <c r="BD21" s="389">
        <v>11</v>
      </c>
      <c r="BE21" s="390"/>
      <c r="BF21" s="390"/>
      <c r="BG21" s="390"/>
      <c r="BH21" s="390"/>
      <c r="BI21" s="390"/>
      <c r="BJ21" s="390"/>
      <c r="BK21" s="390"/>
      <c r="BL21" s="390"/>
      <c r="BM21" s="391"/>
      <c r="BN21" s="389">
        <f t="shared" si="2"/>
        <v>132000</v>
      </c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1"/>
      <c r="CC21" s="133"/>
      <c r="CD21" s="131">
        <f t="shared" si="1"/>
        <v>132000</v>
      </c>
      <c r="CE21" s="150"/>
      <c r="CF21" s="131"/>
      <c r="CG21" s="131"/>
      <c r="CH21" s="131"/>
      <c r="CI21" s="133"/>
      <c r="DB21" s="149"/>
    </row>
    <row r="22" spans="1:111" ht="26.25" customHeight="1" x14ac:dyDescent="0.25">
      <c r="A22" s="354">
        <v>14</v>
      </c>
      <c r="B22" s="354"/>
      <c r="C22" s="354"/>
      <c r="D22" s="354"/>
      <c r="E22" s="392" t="s">
        <v>264</v>
      </c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4"/>
      <c r="AN22" s="389">
        <v>6500</v>
      </c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1"/>
      <c r="BD22" s="389">
        <v>9</v>
      </c>
      <c r="BE22" s="390"/>
      <c r="BF22" s="390"/>
      <c r="BG22" s="390"/>
      <c r="BH22" s="390"/>
      <c r="BI22" s="390"/>
      <c r="BJ22" s="390"/>
      <c r="BK22" s="390"/>
      <c r="BL22" s="390"/>
      <c r="BM22" s="391"/>
      <c r="BN22" s="389">
        <f t="shared" si="2"/>
        <v>58500</v>
      </c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1"/>
      <c r="CC22" s="133"/>
      <c r="CD22" s="131">
        <f t="shared" si="1"/>
        <v>58500</v>
      </c>
      <c r="CE22" s="150"/>
      <c r="CF22" s="131"/>
      <c r="CG22" s="131"/>
      <c r="CH22" s="131"/>
      <c r="CI22" s="133"/>
    </row>
    <row r="23" spans="1:111" ht="26.25" customHeight="1" x14ac:dyDescent="0.25">
      <c r="A23" s="354">
        <v>15</v>
      </c>
      <c r="B23" s="354"/>
      <c r="C23" s="354"/>
      <c r="D23" s="354"/>
      <c r="E23" s="392" t="s">
        <v>265</v>
      </c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4"/>
      <c r="AN23" s="389">
        <v>3278.52</v>
      </c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1"/>
      <c r="BD23" s="389">
        <v>1</v>
      </c>
      <c r="BE23" s="390"/>
      <c r="BF23" s="390"/>
      <c r="BG23" s="390"/>
      <c r="BH23" s="390"/>
      <c r="BI23" s="390"/>
      <c r="BJ23" s="390"/>
      <c r="BK23" s="390"/>
      <c r="BL23" s="390"/>
      <c r="BM23" s="391"/>
      <c r="BN23" s="389">
        <f t="shared" si="2"/>
        <v>3278.52</v>
      </c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1"/>
      <c r="CC23" s="133"/>
      <c r="CD23" s="131">
        <f>BN23</f>
        <v>3278.52</v>
      </c>
      <c r="CE23" s="150"/>
      <c r="CF23" s="131"/>
      <c r="CG23" s="131"/>
      <c r="CH23" s="131"/>
      <c r="CI23" s="133"/>
    </row>
    <row r="24" spans="1:111" ht="17.25" customHeight="1" x14ac:dyDescent="0.25">
      <c r="A24" s="354">
        <v>16</v>
      </c>
      <c r="B24" s="354"/>
      <c r="C24" s="354"/>
      <c r="D24" s="354"/>
      <c r="E24" s="392" t="s">
        <v>266</v>
      </c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4"/>
      <c r="AN24" s="389">
        <v>18474.62</v>
      </c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1"/>
      <c r="BD24" s="389">
        <v>1</v>
      </c>
      <c r="BE24" s="390"/>
      <c r="BF24" s="390"/>
      <c r="BG24" s="390"/>
      <c r="BH24" s="390"/>
      <c r="BI24" s="390"/>
      <c r="BJ24" s="390"/>
      <c r="BK24" s="390"/>
      <c r="BL24" s="390"/>
      <c r="BM24" s="391"/>
      <c r="BN24" s="389">
        <f t="shared" si="2"/>
        <v>18474.62</v>
      </c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1"/>
      <c r="CC24" s="133"/>
      <c r="CD24" s="131">
        <f t="shared" si="1"/>
        <v>18474.62</v>
      </c>
      <c r="CE24" s="150"/>
      <c r="CF24" s="131"/>
      <c r="CG24" s="131"/>
      <c r="CH24" s="131"/>
      <c r="CI24" s="133"/>
    </row>
    <row r="25" spans="1:111" ht="26.25" customHeight="1" x14ac:dyDescent="0.25">
      <c r="A25" s="354">
        <v>17</v>
      </c>
      <c r="B25" s="354"/>
      <c r="C25" s="354"/>
      <c r="D25" s="354"/>
      <c r="E25" s="392" t="s">
        <v>267</v>
      </c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4"/>
      <c r="AN25" s="389">
        <v>500</v>
      </c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1"/>
      <c r="BD25" s="389">
        <v>12</v>
      </c>
      <c r="BE25" s="390"/>
      <c r="BF25" s="390"/>
      <c r="BG25" s="390"/>
      <c r="BH25" s="390"/>
      <c r="BI25" s="390"/>
      <c r="BJ25" s="390"/>
      <c r="BK25" s="390"/>
      <c r="BL25" s="390"/>
      <c r="BM25" s="391"/>
      <c r="BN25" s="389">
        <f t="shared" si="2"/>
        <v>6000</v>
      </c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1"/>
      <c r="CC25" s="133"/>
      <c r="CD25" s="131">
        <f t="shared" si="1"/>
        <v>6000</v>
      </c>
      <c r="CE25" s="150"/>
      <c r="CF25" s="131"/>
      <c r="CG25" s="131"/>
      <c r="CH25" s="131"/>
      <c r="CI25" s="133"/>
    </row>
    <row r="26" spans="1:111" ht="17.25" customHeight="1" x14ac:dyDescent="0.25">
      <c r="A26" s="354">
        <v>18</v>
      </c>
      <c r="B26" s="354"/>
      <c r="C26" s="354"/>
      <c r="D26" s="354"/>
      <c r="E26" s="392" t="s">
        <v>268</v>
      </c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4"/>
      <c r="AN26" s="389">
        <v>12480</v>
      </c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1"/>
      <c r="BD26" s="389">
        <v>1</v>
      </c>
      <c r="BE26" s="390"/>
      <c r="BF26" s="390"/>
      <c r="BG26" s="390"/>
      <c r="BH26" s="390"/>
      <c r="BI26" s="390"/>
      <c r="BJ26" s="390"/>
      <c r="BK26" s="390"/>
      <c r="BL26" s="390"/>
      <c r="BM26" s="391"/>
      <c r="BN26" s="389">
        <f>AN26*BD26</f>
        <v>12480</v>
      </c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1"/>
      <c r="CC26" s="133"/>
      <c r="CD26" s="131">
        <f>BN26</f>
        <v>12480</v>
      </c>
      <c r="CE26" s="150"/>
      <c r="CF26" s="131"/>
      <c r="CG26" s="131"/>
      <c r="CH26" s="131"/>
      <c r="CI26" s="133"/>
      <c r="DG26" s="71">
        <f>12480</f>
        <v>12480</v>
      </c>
    </row>
    <row r="27" spans="1:111" ht="24.75" customHeight="1" x14ac:dyDescent="0.25">
      <c r="A27" s="354">
        <v>19</v>
      </c>
      <c r="B27" s="354"/>
      <c r="C27" s="354"/>
      <c r="D27" s="354"/>
      <c r="E27" s="392" t="s">
        <v>269</v>
      </c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4"/>
      <c r="AN27" s="389">
        <v>25000</v>
      </c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1"/>
      <c r="BD27" s="389">
        <v>1</v>
      </c>
      <c r="BE27" s="390"/>
      <c r="BF27" s="390"/>
      <c r="BG27" s="390"/>
      <c r="BH27" s="390"/>
      <c r="BI27" s="390"/>
      <c r="BJ27" s="390"/>
      <c r="BK27" s="390"/>
      <c r="BL27" s="390"/>
      <c r="BM27" s="391"/>
      <c r="BN27" s="389">
        <f>AN27*BD27</f>
        <v>25000</v>
      </c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1"/>
      <c r="CC27" s="133"/>
      <c r="CD27" s="131">
        <f>BN27</f>
        <v>25000</v>
      </c>
      <c r="CE27" s="150"/>
      <c r="CF27" s="131"/>
      <c r="CG27" s="131"/>
      <c r="CH27" s="131"/>
      <c r="CI27" s="133"/>
      <c r="DG27" s="71">
        <v>25000</v>
      </c>
    </row>
    <row r="28" spans="1:111" x14ac:dyDescent="0.25">
      <c r="A28" s="398" t="s">
        <v>204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7"/>
      <c r="AN28" s="416" t="s">
        <v>1</v>
      </c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416"/>
      <c r="BD28" s="416" t="s">
        <v>1</v>
      </c>
      <c r="BE28" s="416"/>
      <c r="BF28" s="416"/>
      <c r="BG28" s="416"/>
      <c r="BH28" s="416"/>
      <c r="BI28" s="416"/>
      <c r="BJ28" s="416"/>
      <c r="BK28" s="416"/>
      <c r="BL28" s="416"/>
      <c r="BM28" s="416"/>
      <c r="BN28" s="383">
        <f>SUM(BN8:CB27)</f>
        <v>840309.85</v>
      </c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  <c r="CA28" s="383"/>
      <c r="CB28" s="383"/>
      <c r="CC28" s="133"/>
      <c r="CD28" s="134">
        <f>SUM(CD8:CD27)</f>
        <v>840309.85</v>
      </c>
      <c r="CE28" s="134"/>
      <c r="CF28" s="134">
        <f>SUM(CF8:CF27)</f>
        <v>0</v>
      </c>
      <c r="CG28" s="134">
        <f>SUM(CG8:CG27)</f>
        <v>0</v>
      </c>
      <c r="CH28" s="134">
        <f>SUM(CH8:CH27)</f>
        <v>0</v>
      </c>
      <c r="CI28" s="134">
        <f>SUM(CI8:CI27)</f>
        <v>0</v>
      </c>
      <c r="DB28" s="149"/>
    </row>
    <row r="29" spans="1:111" s="90" customFormat="1" ht="65.25" customHeight="1" x14ac:dyDescent="0.3">
      <c r="CD29" s="151"/>
    </row>
    <row r="30" spans="1:111" s="65" customFormat="1" ht="15.6" x14ac:dyDescent="0.3">
      <c r="A30" s="70" t="s">
        <v>270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</row>
    <row r="31" spans="1:111" s="67" customFormat="1" ht="7.8" x14ac:dyDescent="0.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111" x14ac:dyDescent="0.25">
      <c r="A32" s="232" t="s">
        <v>56</v>
      </c>
      <c r="B32" s="232"/>
      <c r="C32" s="232"/>
      <c r="D32" s="232"/>
      <c r="E32" s="361" t="s">
        <v>110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5" t="s">
        <v>200</v>
      </c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7"/>
      <c r="BD32" s="365" t="s">
        <v>201</v>
      </c>
      <c r="BE32" s="366"/>
      <c r="BF32" s="366"/>
      <c r="BG32" s="366"/>
      <c r="BH32" s="366"/>
      <c r="BI32" s="366"/>
      <c r="BJ32" s="366"/>
      <c r="BK32" s="366"/>
      <c r="BL32" s="366"/>
      <c r="BM32" s="367"/>
      <c r="BN32" s="365" t="s">
        <v>202</v>
      </c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7"/>
      <c r="CC32" s="236" t="s">
        <v>61</v>
      </c>
      <c r="CD32" s="236"/>
      <c r="CE32" s="236"/>
      <c r="CF32" s="236"/>
      <c r="CG32" s="236"/>
      <c r="CH32" s="236"/>
      <c r="CI32" s="236"/>
    </row>
    <row r="33" spans="1:112" ht="83.25" customHeight="1" x14ac:dyDescent="0.25">
      <c r="A33" s="232"/>
      <c r="B33" s="232"/>
      <c r="C33" s="232"/>
      <c r="D33" s="232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8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70"/>
      <c r="BD33" s="368"/>
      <c r="BE33" s="369"/>
      <c r="BF33" s="369"/>
      <c r="BG33" s="369"/>
      <c r="BH33" s="369"/>
      <c r="BI33" s="369"/>
      <c r="BJ33" s="369"/>
      <c r="BK33" s="369"/>
      <c r="BL33" s="369"/>
      <c r="BM33" s="370"/>
      <c r="BN33" s="368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70"/>
      <c r="CC33" s="232" t="s">
        <v>66</v>
      </c>
      <c r="CD33" s="232"/>
      <c r="CE33" s="239" t="s">
        <v>67</v>
      </c>
      <c r="CF33" s="240"/>
      <c r="CG33" s="240"/>
      <c r="CH33" s="241"/>
      <c r="CI33" s="384" t="s">
        <v>68</v>
      </c>
    </row>
    <row r="34" spans="1:112" ht="12.75" customHeight="1" x14ac:dyDescent="0.25">
      <c r="A34" s="232"/>
      <c r="B34" s="232"/>
      <c r="C34" s="232"/>
      <c r="D34" s="232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8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70"/>
      <c r="BD34" s="368"/>
      <c r="BE34" s="369"/>
      <c r="BF34" s="369"/>
      <c r="BG34" s="369"/>
      <c r="BH34" s="369"/>
      <c r="BI34" s="369"/>
      <c r="BJ34" s="369"/>
      <c r="BK34" s="369"/>
      <c r="BL34" s="369"/>
      <c r="BM34" s="370"/>
      <c r="BN34" s="368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70"/>
      <c r="CC34" s="231" t="s">
        <v>69</v>
      </c>
      <c r="CD34" s="231" t="s">
        <v>70</v>
      </c>
      <c r="CE34" s="387" t="s">
        <v>71</v>
      </c>
      <c r="CF34" s="231" t="s">
        <v>250</v>
      </c>
      <c r="CG34" s="231" t="s">
        <v>69</v>
      </c>
      <c r="CH34" s="231" t="s">
        <v>70</v>
      </c>
      <c r="CI34" s="385"/>
    </row>
    <row r="35" spans="1:112" x14ac:dyDescent="0.25">
      <c r="A35" s="232"/>
      <c r="B35" s="232"/>
      <c r="C35" s="232"/>
      <c r="D35" s="232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71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3"/>
      <c r="BD35" s="371"/>
      <c r="BE35" s="372"/>
      <c r="BF35" s="372"/>
      <c r="BG35" s="372"/>
      <c r="BH35" s="372"/>
      <c r="BI35" s="372"/>
      <c r="BJ35" s="372"/>
      <c r="BK35" s="372"/>
      <c r="BL35" s="372"/>
      <c r="BM35" s="373"/>
      <c r="BN35" s="371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3"/>
      <c r="CC35" s="231"/>
      <c r="CD35" s="231"/>
      <c r="CE35" s="388"/>
      <c r="CF35" s="231"/>
      <c r="CG35" s="231"/>
      <c r="CH35" s="231"/>
      <c r="CI35" s="386"/>
    </row>
    <row r="36" spans="1:112" ht="30" customHeight="1" x14ac:dyDescent="0.25">
      <c r="A36" s="361">
        <v>1</v>
      </c>
      <c r="B36" s="361"/>
      <c r="C36" s="361"/>
      <c r="D36" s="361"/>
      <c r="E36" s="361">
        <v>2</v>
      </c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>
        <v>3</v>
      </c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>
        <v>4</v>
      </c>
      <c r="BE36" s="361"/>
      <c r="BF36" s="361"/>
      <c r="BG36" s="361"/>
      <c r="BH36" s="361"/>
      <c r="BI36" s="361"/>
      <c r="BJ36" s="361"/>
      <c r="BK36" s="361"/>
      <c r="BL36" s="361"/>
      <c r="BM36" s="361"/>
      <c r="BN36" s="361" t="s">
        <v>114</v>
      </c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73">
        <v>6</v>
      </c>
      <c r="CD36" s="73">
        <v>7</v>
      </c>
      <c r="CE36" s="73">
        <v>8</v>
      </c>
      <c r="CF36" s="73">
        <v>9</v>
      </c>
      <c r="CG36" s="73">
        <v>9</v>
      </c>
      <c r="CH36" s="73">
        <v>10</v>
      </c>
      <c r="CI36" s="73">
        <v>11</v>
      </c>
    </row>
    <row r="37" spans="1:112" ht="16.2" customHeight="1" x14ac:dyDescent="0.25">
      <c r="A37" s="354">
        <v>1</v>
      </c>
      <c r="B37" s="354"/>
      <c r="C37" s="354"/>
      <c r="D37" s="354"/>
      <c r="E37" s="399" t="s">
        <v>271</v>
      </c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404">
        <v>5328.73</v>
      </c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356">
        <v>4</v>
      </c>
      <c r="BE37" s="356"/>
      <c r="BF37" s="356"/>
      <c r="BG37" s="356"/>
      <c r="BH37" s="356"/>
      <c r="BI37" s="356"/>
      <c r="BJ37" s="356"/>
      <c r="BK37" s="356"/>
      <c r="BL37" s="356"/>
      <c r="BM37" s="356"/>
      <c r="BN37" s="400">
        <f t="shared" ref="BN37:BN54" si="3">KK37*KZ37</f>
        <v>21314.92</v>
      </c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83"/>
      <c r="CD37" s="152">
        <f>BN37</f>
        <v>21314.92</v>
      </c>
      <c r="CE37" s="83"/>
      <c r="CF37" s="83"/>
      <c r="CG37" s="83"/>
      <c r="CH37" s="83"/>
      <c r="CI37" s="143">
        <v>0</v>
      </c>
    </row>
    <row r="38" spans="1:112" ht="34.5" customHeight="1" x14ac:dyDescent="0.25">
      <c r="A38" s="354">
        <v>1</v>
      </c>
      <c r="B38" s="354"/>
      <c r="C38" s="354"/>
      <c r="D38" s="354"/>
      <c r="E38" s="399" t="s">
        <v>272</v>
      </c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404">
        <v>5929.43</v>
      </c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356">
        <v>0</v>
      </c>
      <c r="BE38" s="356"/>
      <c r="BF38" s="356"/>
      <c r="BG38" s="356"/>
      <c r="BH38" s="356"/>
      <c r="BI38" s="356"/>
      <c r="BJ38" s="356"/>
      <c r="BK38" s="356"/>
      <c r="BL38" s="356"/>
      <c r="BM38" s="356"/>
      <c r="BN38" s="400">
        <f>CH38</f>
        <v>62560</v>
      </c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83"/>
      <c r="CD38" s="152">
        <v>0</v>
      </c>
      <c r="CE38" s="83">
        <v>963421060</v>
      </c>
      <c r="CF38" s="83"/>
      <c r="CG38" s="83"/>
      <c r="CH38" s="143">
        <v>62560</v>
      </c>
      <c r="CI38" s="143">
        <v>0</v>
      </c>
    </row>
    <row r="39" spans="1:112" ht="45.6" customHeight="1" x14ac:dyDescent="0.25">
      <c r="A39" s="354">
        <v>2</v>
      </c>
      <c r="B39" s="354"/>
      <c r="C39" s="354"/>
      <c r="D39" s="354"/>
      <c r="E39" s="399" t="s">
        <v>273</v>
      </c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404">
        <v>6230</v>
      </c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356">
        <v>12</v>
      </c>
      <c r="BE39" s="356"/>
      <c r="BF39" s="356"/>
      <c r="BG39" s="356"/>
      <c r="BH39" s="356"/>
      <c r="BI39" s="356"/>
      <c r="BJ39" s="356"/>
      <c r="BK39" s="356"/>
      <c r="BL39" s="356"/>
      <c r="BM39" s="356"/>
      <c r="BN39" s="400">
        <f t="shared" si="3"/>
        <v>74760</v>
      </c>
      <c r="BO39" s="400"/>
      <c r="BP39" s="400"/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83"/>
      <c r="CD39" s="152">
        <f t="shared" ref="CD39:CD46" si="4">LJ39</f>
        <v>74760</v>
      </c>
      <c r="CE39" s="83"/>
      <c r="CF39" s="83"/>
      <c r="CG39" s="83"/>
      <c r="CH39" s="83"/>
      <c r="CI39" s="143">
        <v>0</v>
      </c>
    </row>
    <row r="40" spans="1:112" ht="39" customHeight="1" x14ac:dyDescent="0.25">
      <c r="A40" s="354">
        <v>3</v>
      </c>
      <c r="B40" s="354"/>
      <c r="C40" s="354"/>
      <c r="D40" s="354"/>
      <c r="E40" s="399" t="s">
        <v>274</v>
      </c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404">
        <v>5270</v>
      </c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356">
        <v>7</v>
      </c>
      <c r="BE40" s="356"/>
      <c r="BF40" s="356"/>
      <c r="BG40" s="356"/>
      <c r="BH40" s="356"/>
      <c r="BI40" s="356"/>
      <c r="BJ40" s="356"/>
      <c r="BK40" s="356"/>
      <c r="BL40" s="356"/>
      <c r="BM40" s="356"/>
      <c r="BN40" s="400">
        <f t="shared" si="3"/>
        <v>36890</v>
      </c>
      <c r="BO40" s="400"/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83"/>
      <c r="CD40" s="143">
        <f t="shared" si="4"/>
        <v>36890</v>
      </c>
      <c r="CE40" s="83"/>
      <c r="CF40" s="83"/>
      <c r="CG40" s="83"/>
      <c r="CH40" s="83"/>
      <c r="CI40" s="143">
        <v>0</v>
      </c>
      <c r="DB40" s="148">
        <f>DG40-BN40</f>
        <v>0</v>
      </c>
      <c r="DG40" s="71">
        <f>5800+5800+2000+7000+9500+2800+3990</f>
        <v>36890</v>
      </c>
      <c r="DH40" s="71">
        <f>5390</f>
        <v>5390</v>
      </c>
    </row>
    <row r="41" spans="1:112" ht="21" customHeight="1" x14ac:dyDescent="0.25">
      <c r="A41" s="354">
        <v>4</v>
      </c>
      <c r="B41" s="354"/>
      <c r="C41" s="354"/>
      <c r="D41" s="354"/>
      <c r="E41" s="399" t="s">
        <v>275</v>
      </c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404">
        <v>99900</v>
      </c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356">
        <v>1</v>
      </c>
      <c r="BE41" s="356"/>
      <c r="BF41" s="356"/>
      <c r="BG41" s="356"/>
      <c r="BH41" s="356"/>
      <c r="BI41" s="356"/>
      <c r="BJ41" s="356"/>
      <c r="BK41" s="356"/>
      <c r="BL41" s="356"/>
      <c r="BM41" s="356"/>
      <c r="BN41" s="400">
        <f t="shared" si="3"/>
        <v>99900</v>
      </c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83"/>
      <c r="CD41" s="152">
        <f>BN41</f>
        <v>99900</v>
      </c>
      <c r="CE41" s="83"/>
      <c r="CF41" s="83"/>
      <c r="CG41" s="83"/>
      <c r="CH41" s="83"/>
      <c r="CI41" s="143">
        <v>0</v>
      </c>
    </row>
    <row r="42" spans="1:112" ht="19.95" customHeight="1" x14ac:dyDescent="0.25">
      <c r="A42" s="354">
        <v>5</v>
      </c>
      <c r="B42" s="354"/>
      <c r="C42" s="354"/>
      <c r="D42" s="354"/>
      <c r="E42" s="399" t="s">
        <v>276</v>
      </c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404">
        <v>1800</v>
      </c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356">
        <v>0</v>
      </c>
      <c r="BE42" s="356"/>
      <c r="BF42" s="356"/>
      <c r="BG42" s="356"/>
      <c r="BH42" s="356"/>
      <c r="BI42" s="356"/>
      <c r="BJ42" s="356"/>
      <c r="BK42" s="356"/>
      <c r="BL42" s="356"/>
      <c r="BM42" s="356"/>
      <c r="BN42" s="400">
        <f t="shared" si="3"/>
        <v>0</v>
      </c>
      <c r="BO42" s="400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  <c r="BZ42" s="400"/>
      <c r="CA42" s="400"/>
      <c r="CB42" s="400"/>
      <c r="CC42" s="83"/>
      <c r="CD42" s="143">
        <f t="shared" si="4"/>
        <v>0</v>
      </c>
      <c r="CE42" s="83"/>
      <c r="CF42" s="83"/>
      <c r="CG42" s="83"/>
      <c r="CH42" s="83"/>
      <c r="CI42" s="143">
        <v>0</v>
      </c>
    </row>
    <row r="43" spans="1:112" ht="22.5" customHeight="1" x14ac:dyDescent="0.25">
      <c r="A43" s="354">
        <v>6</v>
      </c>
      <c r="B43" s="354"/>
      <c r="C43" s="354"/>
      <c r="D43" s="354"/>
      <c r="E43" s="399" t="s">
        <v>277</v>
      </c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404">
        <v>13300</v>
      </c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356">
        <v>0</v>
      </c>
      <c r="BE43" s="356"/>
      <c r="BF43" s="356"/>
      <c r="BG43" s="356"/>
      <c r="BH43" s="356"/>
      <c r="BI43" s="356"/>
      <c r="BJ43" s="356"/>
      <c r="BK43" s="356"/>
      <c r="BL43" s="356"/>
      <c r="BM43" s="356"/>
      <c r="BN43" s="400">
        <f t="shared" si="3"/>
        <v>0</v>
      </c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83"/>
      <c r="CD43" s="143">
        <f t="shared" si="4"/>
        <v>0</v>
      </c>
      <c r="CE43" s="83"/>
      <c r="CF43" s="83"/>
      <c r="CG43" s="83"/>
      <c r="CH43" s="83"/>
      <c r="CI43" s="143">
        <v>0</v>
      </c>
    </row>
    <row r="44" spans="1:112" ht="17.399999999999999" customHeight="1" x14ac:dyDescent="0.25">
      <c r="A44" s="354">
        <v>7</v>
      </c>
      <c r="B44" s="354"/>
      <c r="C44" s="354"/>
      <c r="D44" s="354"/>
      <c r="E44" s="399" t="s">
        <v>278</v>
      </c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404">
        <v>174100</v>
      </c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356">
        <v>1</v>
      </c>
      <c r="BE44" s="356"/>
      <c r="BF44" s="356"/>
      <c r="BG44" s="356"/>
      <c r="BH44" s="356"/>
      <c r="BI44" s="356"/>
      <c r="BJ44" s="356"/>
      <c r="BK44" s="356"/>
      <c r="BL44" s="356"/>
      <c r="BM44" s="356"/>
      <c r="BN44" s="400">
        <f t="shared" si="3"/>
        <v>174100</v>
      </c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00"/>
      <c r="BZ44" s="400"/>
      <c r="CA44" s="400"/>
      <c r="CB44" s="400"/>
      <c r="CC44" s="83"/>
      <c r="CD44" s="143">
        <f t="shared" si="4"/>
        <v>174100</v>
      </c>
      <c r="CE44" s="83"/>
      <c r="CF44" s="83"/>
      <c r="CG44" s="83"/>
      <c r="CH44" s="83"/>
      <c r="CI44" s="143">
        <v>0</v>
      </c>
      <c r="DB44" s="148">
        <f>174100-CD44</f>
        <v>0</v>
      </c>
      <c r="DH44" s="71">
        <f>-10700</f>
        <v>-10700</v>
      </c>
    </row>
    <row r="45" spans="1:112" ht="17.25" customHeight="1" x14ac:dyDescent="0.25">
      <c r="A45" s="354">
        <v>8</v>
      </c>
      <c r="B45" s="354"/>
      <c r="C45" s="354"/>
      <c r="D45" s="354"/>
      <c r="E45" s="399" t="s">
        <v>279</v>
      </c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404">
        <f>468*47</f>
        <v>21996</v>
      </c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356">
        <v>1</v>
      </c>
      <c r="BE45" s="356"/>
      <c r="BF45" s="356"/>
      <c r="BG45" s="356"/>
      <c r="BH45" s="356"/>
      <c r="BI45" s="356"/>
      <c r="BJ45" s="356"/>
      <c r="BK45" s="356"/>
      <c r="BL45" s="356"/>
      <c r="BM45" s="356"/>
      <c r="BN45" s="400">
        <f t="shared" si="3"/>
        <v>21996</v>
      </c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  <c r="BY45" s="400"/>
      <c r="BZ45" s="400"/>
      <c r="CA45" s="400"/>
      <c r="CB45" s="400"/>
      <c r="CC45" s="83"/>
      <c r="CD45" s="152">
        <f t="shared" si="4"/>
        <v>21996</v>
      </c>
      <c r="CE45" s="83"/>
      <c r="CF45" s="83"/>
      <c r="CG45" s="83"/>
      <c r="CH45" s="83"/>
      <c r="CI45" s="143">
        <v>0</v>
      </c>
    </row>
    <row r="46" spans="1:112" ht="29.25" customHeight="1" x14ac:dyDescent="0.25">
      <c r="A46" s="354">
        <v>9</v>
      </c>
      <c r="B46" s="354"/>
      <c r="C46" s="354"/>
      <c r="D46" s="354"/>
      <c r="E46" s="399" t="s">
        <v>280</v>
      </c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404">
        <v>500</v>
      </c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356">
        <v>0</v>
      </c>
      <c r="BE46" s="356"/>
      <c r="BF46" s="356"/>
      <c r="BG46" s="356"/>
      <c r="BH46" s="356"/>
      <c r="BI46" s="356"/>
      <c r="BJ46" s="356"/>
      <c r="BK46" s="356"/>
      <c r="BL46" s="356"/>
      <c r="BM46" s="356"/>
      <c r="BN46" s="400">
        <f t="shared" ref="BN46:BN51" si="5">KK46*KZ46</f>
        <v>0</v>
      </c>
      <c r="BO46" s="400"/>
      <c r="BP46" s="400"/>
      <c r="BQ46" s="400"/>
      <c r="BR46" s="400"/>
      <c r="BS46" s="400"/>
      <c r="BT46" s="400"/>
      <c r="BU46" s="400"/>
      <c r="BV46" s="400"/>
      <c r="BW46" s="400"/>
      <c r="BX46" s="400"/>
      <c r="BY46" s="400"/>
      <c r="BZ46" s="400"/>
      <c r="CA46" s="400"/>
      <c r="CB46" s="400"/>
      <c r="CC46" s="83"/>
      <c r="CD46" s="143">
        <f t="shared" si="4"/>
        <v>0</v>
      </c>
      <c r="CE46" s="83"/>
      <c r="CF46" s="83"/>
      <c r="CG46" s="83"/>
      <c r="CH46" s="83"/>
      <c r="CI46" s="143">
        <v>0</v>
      </c>
    </row>
    <row r="47" spans="1:112" ht="21.75" customHeight="1" x14ac:dyDescent="0.25">
      <c r="A47" s="354">
        <v>10</v>
      </c>
      <c r="B47" s="354"/>
      <c r="C47" s="354"/>
      <c r="D47" s="354"/>
      <c r="E47" s="399" t="s">
        <v>281</v>
      </c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404">
        <v>65900</v>
      </c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356">
        <v>0</v>
      </c>
      <c r="BE47" s="356"/>
      <c r="BF47" s="356"/>
      <c r="BG47" s="356"/>
      <c r="BH47" s="356"/>
      <c r="BI47" s="356"/>
      <c r="BJ47" s="356"/>
      <c r="BK47" s="356"/>
      <c r="BL47" s="356"/>
      <c r="BM47" s="356"/>
      <c r="BN47" s="400">
        <f t="shared" si="5"/>
        <v>0</v>
      </c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83"/>
      <c r="CD47" s="143">
        <f>BN47</f>
        <v>0</v>
      </c>
      <c r="CE47" s="83"/>
      <c r="CF47" s="83"/>
      <c r="CG47" s="83"/>
      <c r="CH47" s="83"/>
      <c r="CI47" s="143">
        <v>0</v>
      </c>
    </row>
    <row r="48" spans="1:112" ht="20.25" customHeight="1" x14ac:dyDescent="0.25">
      <c r="A48" s="354">
        <v>11</v>
      </c>
      <c r="B48" s="354"/>
      <c r="C48" s="354"/>
      <c r="D48" s="354"/>
      <c r="E48" s="399" t="s">
        <v>282</v>
      </c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404">
        <v>4500</v>
      </c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356">
        <v>0</v>
      </c>
      <c r="BE48" s="356"/>
      <c r="BF48" s="356"/>
      <c r="BG48" s="356"/>
      <c r="BH48" s="356"/>
      <c r="BI48" s="356"/>
      <c r="BJ48" s="356"/>
      <c r="BK48" s="356"/>
      <c r="BL48" s="356"/>
      <c r="BM48" s="356"/>
      <c r="BN48" s="400">
        <f t="shared" si="5"/>
        <v>0</v>
      </c>
      <c r="BO48" s="400"/>
      <c r="BP48" s="400"/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83"/>
      <c r="CD48" s="143">
        <f>BN48</f>
        <v>0</v>
      </c>
      <c r="CE48" s="83"/>
      <c r="CF48" s="83"/>
      <c r="CG48" s="83"/>
      <c r="CH48" s="83"/>
      <c r="CI48" s="143">
        <v>0</v>
      </c>
      <c r="DB48" s="148">
        <f>0-CD48</f>
        <v>0</v>
      </c>
      <c r="DH48" s="71">
        <f>-4500</f>
        <v>-4500</v>
      </c>
    </row>
    <row r="49" spans="1:87" ht="59.25" customHeight="1" x14ac:dyDescent="0.25">
      <c r="A49" s="354">
        <v>12</v>
      </c>
      <c r="B49" s="354"/>
      <c r="C49" s="354"/>
      <c r="D49" s="354"/>
      <c r="E49" s="399" t="s">
        <v>283</v>
      </c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404">
        <v>12600</v>
      </c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356">
        <v>0</v>
      </c>
      <c r="BE49" s="356"/>
      <c r="BF49" s="356"/>
      <c r="BG49" s="356"/>
      <c r="BH49" s="356"/>
      <c r="BI49" s="356"/>
      <c r="BJ49" s="356"/>
      <c r="BK49" s="356"/>
      <c r="BL49" s="356"/>
      <c r="BM49" s="356"/>
      <c r="BN49" s="400">
        <f t="shared" si="5"/>
        <v>0</v>
      </c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83"/>
      <c r="CD49" s="143">
        <f>BN49</f>
        <v>0</v>
      </c>
      <c r="CE49" s="83"/>
      <c r="CF49" s="83"/>
      <c r="CG49" s="83"/>
      <c r="CH49" s="83"/>
      <c r="CI49" s="143">
        <v>0</v>
      </c>
    </row>
    <row r="50" spans="1:87" ht="24.75" customHeight="1" x14ac:dyDescent="0.25">
      <c r="A50" s="354">
        <v>13</v>
      </c>
      <c r="B50" s="354"/>
      <c r="C50" s="354"/>
      <c r="D50" s="354"/>
      <c r="E50" s="417" t="s">
        <v>284</v>
      </c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9"/>
      <c r="AO50" s="420">
        <v>0</v>
      </c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2"/>
      <c r="BD50" s="228">
        <v>1</v>
      </c>
      <c r="BE50" s="229"/>
      <c r="BF50" s="229"/>
      <c r="BG50" s="229"/>
      <c r="BH50" s="229"/>
      <c r="BI50" s="229"/>
      <c r="BJ50" s="229"/>
      <c r="BK50" s="229"/>
      <c r="BL50" s="229"/>
      <c r="BM50" s="230"/>
      <c r="BN50" s="423">
        <f t="shared" si="5"/>
        <v>0</v>
      </c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  <c r="CA50" s="424"/>
      <c r="CB50" s="425"/>
      <c r="CC50" s="83"/>
      <c r="CD50" s="143">
        <f>BN50</f>
        <v>0</v>
      </c>
      <c r="CE50" s="83"/>
      <c r="CF50" s="83"/>
      <c r="CG50" s="83"/>
      <c r="CH50" s="83"/>
      <c r="CI50" s="143">
        <v>0</v>
      </c>
    </row>
    <row r="51" spans="1:87" ht="16.5" customHeight="1" x14ac:dyDescent="0.25">
      <c r="A51" s="354">
        <v>14</v>
      </c>
      <c r="B51" s="354"/>
      <c r="C51" s="354"/>
      <c r="D51" s="354"/>
      <c r="E51" s="399" t="s">
        <v>285</v>
      </c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404">
        <f>69000-10000-30000</f>
        <v>29000</v>
      </c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404"/>
      <c r="BD51" s="356">
        <v>0</v>
      </c>
      <c r="BE51" s="356"/>
      <c r="BF51" s="356"/>
      <c r="BG51" s="356"/>
      <c r="BH51" s="356"/>
      <c r="BI51" s="356"/>
      <c r="BJ51" s="356"/>
      <c r="BK51" s="356"/>
      <c r="BL51" s="356"/>
      <c r="BM51" s="356"/>
      <c r="BN51" s="400">
        <f t="shared" si="5"/>
        <v>0</v>
      </c>
      <c r="BO51" s="400"/>
      <c r="BP51" s="400"/>
      <c r="BQ51" s="400"/>
      <c r="BR51" s="400"/>
      <c r="BS51" s="400"/>
      <c r="BT51" s="400"/>
      <c r="BU51" s="400"/>
      <c r="BV51" s="400"/>
      <c r="BW51" s="400"/>
      <c r="BX51" s="400"/>
      <c r="BY51" s="400"/>
      <c r="BZ51" s="400"/>
      <c r="CA51" s="400"/>
      <c r="CB51" s="400"/>
      <c r="CC51" s="83"/>
      <c r="CD51" s="143">
        <v>0</v>
      </c>
      <c r="CE51" s="83"/>
      <c r="CF51" s="83"/>
      <c r="CG51" s="83"/>
      <c r="CH51" s="83"/>
      <c r="CI51" s="143">
        <f>BN51</f>
        <v>0</v>
      </c>
    </row>
    <row r="52" spans="1:87" ht="27" customHeight="1" x14ac:dyDescent="0.25">
      <c r="A52" s="354">
        <v>15</v>
      </c>
      <c r="B52" s="354"/>
      <c r="C52" s="354"/>
      <c r="D52" s="354"/>
      <c r="E52" s="399" t="s">
        <v>286</v>
      </c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404">
        <f>BN52</f>
        <v>30000</v>
      </c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356">
        <v>1</v>
      </c>
      <c r="BE52" s="356"/>
      <c r="BF52" s="356"/>
      <c r="BG52" s="356"/>
      <c r="BH52" s="356"/>
      <c r="BI52" s="356"/>
      <c r="BJ52" s="356"/>
      <c r="BK52" s="356"/>
      <c r="BL52" s="356"/>
      <c r="BM52" s="356"/>
      <c r="BN52" s="400">
        <v>30000</v>
      </c>
      <c r="BO52" s="400"/>
      <c r="BP52" s="400"/>
      <c r="BQ52" s="400"/>
      <c r="BR52" s="400"/>
      <c r="BS52" s="400"/>
      <c r="BT52" s="400"/>
      <c r="BU52" s="400"/>
      <c r="BV52" s="400"/>
      <c r="BW52" s="400"/>
      <c r="BX52" s="400"/>
      <c r="BY52" s="400"/>
      <c r="BZ52" s="400"/>
      <c r="CA52" s="400"/>
      <c r="CB52" s="400"/>
      <c r="CC52" s="83"/>
      <c r="CD52" s="143">
        <v>0</v>
      </c>
      <c r="CE52" s="83"/>
      <c r="CF52" s="83"/>
      <c r="CG52" s="83"/>
      <c r="CH52" s="83"/>
      <c r="CI52" s="143">
        <f>BN52</f>
        <v>30000</v>
      </c>
    </row>
    <row r="53" spans="1:87" ht="27" customHeight="1" x14ac:dyDescent="0.25">
      <c r="A53" s="354">
        <v>16</v>
      </c>
      <c r="B53" s="354"/>
      <c r="C53" s="354"/>
      <c r="D53" s="354"/>
      <c r="E53" s="399" t="s">
        <v>287</v>
      </c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404">
        <v>25000</v>
      </c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356">
        <v>1</v>
      </c>
      <c r="BE53" s="356"/>
      <c r="BF53" s="356"/>
      <c r="BG53" s="356"/>
      <c r="BH53" s="356"/>
      <c r="BI53" s="356"/>
      <c r="BJ53" s="356"/>
      <c r="BK53" s="356"/>
      <c r="BL53" s="356"/>
      <c r="BM53" s="356"/>
      <c r="BN53" s="400">
        <v>25000</v>
      </c>
      <c r="BO53" s="400"/>
      <c r="BP53" s="400"/>
      <c r="BQ53" s="400"/>
      <c r="BR53" s="400"/>
      <c r="BS53" s="400"/>
      <c r="BT53" s="400"/>
      <c r="BU53" s="400"/>
      <c r="BV53" s="400"/>
      <c r="BW53" s="400"/>
      <c r="BX53" s="400"/>
      <c r="BY53" s="400"/>
      <c r="BZ53" s="400"/>
      <c r="CA53" s="400"/>
      <c r="CB53" s="400"/>
      <c r="CC53" s="83"/>
      <c r="CD53" s="143">
        <v>0</v>
      </c>
      <c r="CE53" s="83"/>
      <c r="CF53" s="83"/>
      <c r="CG53" s="83"/>
      <c r="CH53" s="83"/>
      <c r="CI53" s="143">
        <v>25000</v>
      </c>
    </row>
    <row r="54" spans="1:87" ht="16.5" customHeight="1" x14ac:dyDescent="0.25">
      <c r="A54" s="354">
        <v>17</v>
      </c>
      <c r="B54" s="354"/>
      <c r="C54" s="354"/>
      <c r="D54" s="354"/>
      <c r="E54" s="399" t="s">
        <v>288</v>
      </c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404">
        <f>43157.24-8000-15000-10000</f>
        <v>10157.239999999998</v>
      </c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356">
        <v>0</v>
      </c>
      <c r="BE54" s="356"/>
      <c r="BF54" s="356"/>
      <c r="BG54" s="356"/>
      <c r="BH54" s="356"/>
      <c r="BI54" s="356"/>
      <c r="BJ54" s="356"/>
      <c r="BK54" s="356"/>
      <c r="BL54" s="356"/>
      <c r="BM54" s="356"/>
      <c r="BN54" s="400">
        <f t="shared" si="3"/>
        <v>0</v>
      </c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83"/>
      <c r="CD54" s="143">
        <v>0</v>
      </c>
      <c r="CE54" s="83"/>
      <c r="CF54" s="83"/>
      <c r="CG54" s="83"/>
      <c r="CH54" s="83"/>
      <c r="CI54" s="143">
        <f>BN54</f>
        <v>0</v>
      </c>
    </row>
    <row r="55" spans="1:87" ht="26.25" customHeight="1" x14ac:dyDescent="0.25">
      <c r="A55" s="354">
        <v>18</v>
      </c>
      <c r="B55" s="354"/>
      <c r="C55" s="354"/>
      <c r="D55" s="354"/>
      <c r="E55" s="399" t="s">
        <v>289</v>
      </c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404">
        <f>87000</f>
        <v>87000</v>
      </c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356">
        <v>1</v>
      </c>
      <c r="BE55" s="356"/>
      <c r="BF55" s="356"/>
      <c r="BG55" s="356"/>
      <c r="BH55" s="356"/>
      <c r="BI55" s="356"/>
      <c r="BJ55" s="356"/>
      <c r="BK55" s="356"/>
      <c r="BL55" s="356"/>
      <c r="BM55" s="356"/>
      <c r="BN55" s="400">
        <f>AO55*BD55</f>
        <v>87000</v>
      </c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83"/>
      <c r="CD55" s="143">
        <v>0</v>
      </c>
      <c r="CE55" s="83">
        <v>963221008</v>
      </c>
      <c r="CF55" s="83"/>
      <c r="CG55" s="143">
        <f>8700+78300</f>
        <v>87000</v>
      </c>
      <c r="CH55" s="83"/>
      <c r="CI55" s="143">
        <v>0</v>
      </c>
    </row>
    <row r="56" spans="1:87" ht="30" customHeight="1" x14ac:dyDescent="0.25">
      <c r="A56" s="354">
        <v>19</v>
      </c>
      <c r="B56" s="354"/>
      <c r="C56" s="354"/>
      <c r="D56" s="354"/>
      <c r="E56" s="399" t="s">
        <v>289</v>
      </c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404">
        <f>13000</f>
        <v>13000</v>
      </c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356">
        <v>1</v>
      </c>
      <c r="BE56" s="356"/>
      <c r="BF56" s="356"/>
      <c r="BG56" s="356"/>
      <c r="BH56" s="356"/>
      <c r="BI56" s="356"/>
      <c r="BJ56" s="356"/>
      <c r="BK56" s="356"/>
      <c r="BL56" s="356"/>
      <c r="BM56" s="356"/>
      <c r="BN56" s="400">
        <f>AO56*BD56</f>
        <v>13000</v>
      </c>
      <c r="BO56" s="400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  <c r="BZ56" s="400"/>
      <c r="CA56" s="400"/>
      <c r="CB56" s="400"/>
      <c r="CC56" s="83"/>
      <c r="CD56" s="143">
        <v>0</v>
      </c>
      <c r="CE56" s="83">
        <v>963321008</v>
      </c>
      <c r="CF56" s="83"/>
      <c r="CG56" s="83"/>
      <c r="CH56" s="143">
        <f>1300+11700</f>
        <v>13000</v>
      </c>
      <c r="CI56" s="143">
        <v>0</v>
      </c>
    </row>
    <row r="57" spans="1:87" s="90" customFormat="1" ht="15.6" x14ac:dyDescent="0.3">
      <c r="A57" s="398" t="s">
        <v>128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7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236" t="s">
        <v>1</v>
      </c>
      <c r="BE57" s="236"/>
      <c r="BF57" s="236"/>
      <c r="BG57" s="236"/>
      <c r="BH57" s="236"/>
      <c r="BI57" s="236"/>
      <c r="BJ57" s="236"/>
      <c r="BK57" s="236"/>
      <c r="BL57" s="236"/>
      <c r="BM57" s="236"/>
      <c r="BN57" s="403">
        <f>SUM(BN37:CB56)</f>
        <v>646520.91999999993</v>
      </c>
      <c r="BO57" s="403"/>
      <c r="BP57" s="403"/>
      <c r="BQ57" s="403"/>
      <c r="BR57" s="403"/>
      <c r="BS57" s="403"/>
      <c r="BT57" s="403"/>
      <c r="BU57" s="403"/>
      <c r="BV57" s="403"/>
      <c r="BW57" s="403"/>
      <c r="BX57" s="403"/>
      <c r="BY57" s="403"/>
      <c r="BZ57" s="403"/>
      <c r="CA57" s="403"/>
      <c r="CB57" s="403"/>
      <c r="CC57" s="83"/>
      <c r="CD57" s="84">
        <f>SUM(CD37:CD56)</f>
        <v>428960.92</v>
      </c>
      <c r="CE57" s="83"/>
      <c r="CF57" s="84">
        <f>SUM(CF37:CF56)</f>
        <v>0</v>
      </c>
      <c r="CG57" s="84">
        <f>SUM(CG37:CG56)</f>
        <v>87000</v>
      </c>
      <c r="CH57" s="84">
        <f>SUM(CH37:CH56)</f>
        <v>75560</v>
      </c>
      <c r="CI57" s="84">
        <f>SUM(CI37:CI54)</f>
        <v>55000</v>
      </c>
    </row>
    <row r="58" spans="1:87" s="90" customFormat="1" ht="15.6" x14ac:dyDescent="0.3"/>
    <row r="59" spans="1:87" s="90" customFormat="1" ht="15.6" x14ac:dyDescent="0.3">
      <c r="A59" s="70" t="s">
        <v>290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</row>
    <row r="60" spans="1:87" s="90" customFormat="1" ht="15.6" x14ac:dyDescent="0.3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7"/>
      <c r="CD60" s="67"/>
      <c r="CE60" s="67"/>
      <c r="CF60" s="67"/>
      <c r="CG60" s="67"/>
      <c r="CH60" s="67"/>
      <c r="CI60" s="67"/>
    </row>
    <row r="61" spans="1:87" s="90" customFormat="1" ht="27.75" customHeight="1" x14ac:dyDescent="0.3">
      <c r="A61" s="232" t="s">
        <v>56</v>
      </c>
      <c r="B61" s="232"/>
      <c r="C61" s="232"/>
      <c r="D61" s="232"/>
      <c r="E61" s="361" t="s">
        <v>110</v>
      </c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5" t="s">
        <v>200</v>
      </c>
      <c r="AP61" s="366"/>
      <c r="AQ61" s="366"/>
      <c r="AR61" s="366"/>
      <c r="AS61" s="366"/>
      <c r="AT61" s="366"/>
      <c r="AU61" s="366"/>
      <c r="AV61" s="366"/>
      <c r="AW61" s="366"/>
      <c r="AX61" s="366"/>
      <c r="AY61" s="366"/>
      <c r="AZ61" s="366"/>
      <c r="BA61" s="366"/>
      <c r="BB61" s="366"/>
      <c r="BC61" s="367"/>
      <c r="BD61" s="365" t="s">
        <v>201</v>
      </c>
      <c r="BE61" s="366"/>
      <c r="BF61" s="366"/>
      <c r="BG61" s="366"/>
      <c r="BH61" s="366"/>
      <c r="BI61" s="366"/>
      <c r="BJ61" s="366"/>
      <c r="BK61" s="366"/>
      <c r="BL61" s="366"/>
      <c r="BM61" s="367"/>
      <c r="BN61" s="365" t="s">
        <v>202</v>
      </c>
      <c r="BO61" s="366"/>
      <c r="BP61" s="366"/>
      <c r="BQ61" s="366"/>
      <c r="BR61" s="366"/>
      <c r="BS61" s="366"/>
      <c r="BT61" s="366"/>
      <c r="BU61" s="366"/>
      <c r="BV61" s="366"/>
      <c r="BW61" s="366"/>
      <c r="BX61" s="366"/>
      <c r="BY61" s="366"/>
      <c r="BZ61" s="366"/>
      <c r="CA61" s="366"/>
      <c r="CB61" s="367"/>
      <c r="CC61" s="236" t="s">
        <v>61</v>
      </c>
      <c r="CD61" s="236"/>
      <c r="CE61" s="236"/>
      <c r="CF61" s="236"/>
      <c r="CG61" s="236"/>
      <c r="CH61" s="236"/>
      <c r="CI61" s="236"/>
    </row>
    <row r="62" spans="1:87" s="90" customFormat="1" ht="25.2" customHeight="1" x14ac:dyDescent="0.3">
      <c r="A62" s="232"/>
      <c r="B62" s="232"/>
      <c r="C62" s="232"/>
      <c r="D62" s="232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8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70"/>
      <c r="BD62" s="368"/>
      <c r="BE62" s="369"/>
      <c r="BF62" s="369"/>
      <c r="BG62" s="369"/>
      <c r="BH62" s="369"/>
      <c r="BI62" s="369"/>
      <c r="BJ62" s="369"/>
      <c r="BK62" s="369"/>
      <c r="BL62" s="369"/>
      <c r="BM62" s="370"/>
      <c r="BN62" s="368"/>
      <c r="BO62" s="369"/>
      <c r="BP62" s="369"/>
      <c r="BQ62" s="369"/>
      <c r="BR62" s="369"/>
      <c r="BS62" s="369"/>
      <c r="BT62" s="369"/>
      <c r="BU62" s="369"/>
      <c r="BV62" s="369"/>
      <c r="BW62" s="369"/>
      <c r="BX62" s="369"/>
      <c r="BY62" s="369"/>
      <c r="BZ62" s="369"/>
      <c r="CA62" s="369"/>
      <c r="CB62" s="370"/>
      <c r="CC62" s="232" t="s">
        <v>66</v>
      </c>
      <c r="CD62" s="232"/>
      <c r="CE62" s="239" t="s">
        <v>67</v>
      </c>
      <c r="CF62" s="240"/>
      <c r="CG62" s="240"/>
      <c r="CH62" s="241"/>
      <c r="CI62" s="384" t="s">
        <v>68</v>
      </c>
    </row>
    <row r="63" spans="1:87" s="90" customFormat="1" ht="15.6" x14ac:dyDescent="0.3">
      <c r="A63" s="232"/>
      <c r="B63" s="232"/>
      <c r="C63" s="232"/>
      <c r="D63" s="232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8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70"/>
      <c r="BD63" s="368"/>
      <c r="BE63" s="369"/>
      <c r="BF63" s="369"/>
      <c r="BG63" s="369"/>
      <c r="BH63" s="369"/>
      <c r="BI63" s="369"/>
      <c r="BJ63" s="369"/>
      <c r="BK63" s="369"/>
      <c r="BL63" s="369"/>
      <c r="BM63" s="370"/>
      <c r="BN63" s="368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70"/>
      <c r="CC63" s="231" t="s">
        <v>69</v>
      </c>
      <c r="CD63" s="231" t="s">
        <v>70</v>
      </c>
      <c r="CE63" s="387" t="s">
        <v>71</v>
      </c>
      <c r="CF63" s="231" t="s">
        <v>250</v>
      </c>
      <c r="CG63" s="231" t="s">
        <v>69</v>
      </c>
      <c r="CH63" s="231" t="s">
        <v>70</v>
      </c>
      <c r="CI63" s="385"/>
    </row>
    <row r="64" spans="1:87" s="90" customFormat="1" ht="15.6" x14ac:dyDescent="0.3">
      <c r="A64" s="232"/>
      <c r="B64" s="232"/>
      <c r="C64" s="232"/>
      <c r="D64" s="232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71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3"/>
      <c r="BD64" s="371"/>
      <c r="BE64" s="372"/>
      <c r="BF64" s="372"/>
      <c r="BG64" s="372"/>
      <c r="BH64" s="372"/>
      <c r="BI64" s="372"/>
      <c r="BJ64" s="372"/>
      <c r="BK64" s="372"/>
      <c r="BL64" s="372"/>
      <c r="BM64" s="373"/>
      <c r="BN64" s="371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3"/>
      <c r="CC64" s="231"/>
      <c r="CD64" s="231"/>
      <c r="CE64" s="388"/>
      <c r="CF64" s="231"/>
      <c r="CG64" s="231"/>
      <c r="CH64" s="231"/>
      <c r="CI64" s="386"/>
    </row>
    <row r="65" spans="1:87" s="90" customFormat="1" ht="15.6" x14ac:dyDescent="0.3">
      <c r="A65" s="361">
        <v>1</v>
      </c>
      <c r="B65" s="361"/>
      <c r="C65" s="361"/>
      <c r="D65" s="361"/>
      <c r="E65" s="361">
        <v>2</v>
      </c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>
        <v>3</v>
      </c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>
        <v>4</v>
      </c>
      <c r="BE65" s="361"/>
      <c r="BF65" s="361"/>
      <c r="BG65" s="361"/>
      <c r="BH65" s="361"/>
      <c r="BI65" s="361"/>
      <c r="BJ65" s="361"/>
      <c r="BK65" s="361"/>
      <c r="BL65" s="361"/>
      <c r="BM65" s="361"/>
      <c r="BN65" s="361" t="s">
        <v>114</v>
      </c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73">
        <v>6</v>
      </c>
      <c r="CD65" s="73">
        <v>7</v>
      </c>
      <c r="CE65" s="73">
        <v>8</v>
      </c>
      <c r="CF65" s="73">
        <v>9</v>
      </c>
      <c r="CG65" s="73">
        <v>9</v>
      </c>
      <c r="CH65" s="73">
        <v>10</v>
      </c>
      <c r="CI65" s="73">
        <v>11</v>
      </c>
    </row>
    <row r="66" spans="1:87" s="90" customFormat="1" ht="15.6" x14ac:dyDescent="0.3">
      <c r="A66" s="228" t="s">
        <v>291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30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 t="s">
        <v>1</v>
      </c>
      <c r="BE66" s="236"/>
      <c r="BF66" s="236"/>
      <c r="BG66" s="236"/>
      <c r="BH66" s="236"/>
      <c r="BI66" s="236"/>
      <c r="BJ66" s="236"/>
      <c r="BK66" s="236"/>
      <c r="BL66" s="236"/>
      <c r="BM66" s="23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83"/>
      <c r="CD66" s="83"/>
      <c r="CE66" s="83"/>
      <c r="CF66" s="83"/>
      <c r="CG66" s="83"/>
      <c r="CH66" s="83"/>
      <c r="CI66" s="83"/>
    </row>
    <row r="67" spans="1:87" s="65" customFormat="1" ht="8.25" customHeight="1" x14ac:dyDescent="0.3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</row>
    <row r="68" spans="1:87" s="67" customFormat="1" ht="17.25" customHeight="1" x14ac:dyDescent="0.3">
      <c r="A68" s="70" t="s">
        <v>292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</row>
    <row r="69" spans="1:87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7"/>
      <c r="CD69" s="67"/>
      <c r="CE69" s="67"/>
      <c r="CF69" s="67"/>
      <c r="CG69" s="67"/>
      <c r="CH69" s="67"/>
      <c r="CI69" s="67"/>
    </row>
    <row r="70" spans="1:87" ht="19.2" customHeight="1" x14ac:dyDescent="0.25">
      <c r="A70" s="232" t="s">
        <v>56</v>
      </c>
      <c r="B70" s="232"/>
      <c r="C70" s="232"/>
      <c r="D70" s="232"/>
      <c r="E70" s="361" t="s">
        <v>110</v>
      </c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 t="s">
        <v>241</v>
      </c>
      <c r="AT70" s="361"/>
      <c r="AU70" s="361"/>
      <c r="AV70" s="361"/>
      <c r="AW70" s="361"/>
      <c r="AX70" s="361"/>
      <c r="AY70" s="361"/>
      <c r="AZ70" s="361"/>
      <c r="BA70" s="361"/>
      <c r="BB70" s="361"/>
      <c r="BC70" s="232" t="s">
        <v>293</v>
      </c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361" t="s">
        <v>113</v>
      </c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236" t="s">
        <v>61</v>
      </c>
      <c r="CD70" s="236"/>
      <c r="CE70" s="236"/>
      <c r="CF70" s="236"/>
      <c r="CG70" s="236"/>
      <c r="CH70" s="236"/>
      <c r="CI70" s="236"/>
    </row>
    <row r="71" spans="1:87" ht="12.75" customHeight="1" x14ac:dyDescent="0.25">
      <c r="A71" s="232"/>
      <c r="B71" s="232"/>
      <c r="C71" s="232"/>
      <c r="D71" s="232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232" t="s">
        <v>66</v>
      </c>
      <c r="CD71" s="232"/>
      <c r="CE71" s="239" t="s">
        <v>67</v>
      </c>
      <c r="CF71" s="240"/>
      <c r="CG71" s="240"/>
      <c r="CH71" s="241"/>
      <c r="CI71" s="384" t="s">
        <v>68</v>
      </c>
    </row>
    <row r="72" spans="1:87" x14ac:dyDescent="0.25">
      <c r="A72" s="232"/>
      <c r="B72" s="232"/>
      <c r="C72" s="232"/>
      <c r="D72" s="232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231" t="s">
        <v>69</v>
      </c>
      <c r="CD72" s="231" t="s">
        <v>70</v>
      </c>
      <c r="CE72" s="387" t="s">
        <v>71</v>
      </c>
      <c r="CF72" s="231" t="s">
        <v>250</v>
      </c>
      <c r="CG72" s="231" t="s">
        <v>69</v>
      </c>
      <c r="CH72" s="231" t="s">
        <v>70</v>
      </c>
      <c r="CI72" s="385"/>
    </row>
    <row r="73" spans="1:87" x14ac:dyDescent="0.25">
      <c r="A73" s="232"/>
      <c r="B73" s="232"/>
      <c r="C73" s="232"/>
      <c r="D73" s="232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231"/>
      <c r="CD73" s="231"/>
      <c r="CE73" s="388"/>
      <c r="CF73" s="231"/>
      <c r="CG73" s="231"/>
      <c r="CH73" s="231"/>
      <c r="CI73" s="386"/>
    </row>
    <row r="74" spans="1:87" x14ac:dyDescent="0.25">
      <c r="A74" s="361">
        <v>1</v>
      </c>
      <c r="B74" s="361"/>
      <c r="C74" s="361"/>
      <c r="D74" s="361"/>
      <c r="E74" s="361">
        <v>2</v>
      </c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>
        <v>3</v>
      </c>
      <c r="AT74" s="361"/>
      <c r="AU74" s="361"/>
      <c r="AV74" s="361"/>
      <c r="AW74" s="361"/>
      <c r="AX74" s="361"/>
      <c r="AY74" s="361"/>
      <c r="AZ74" s="361"/>
      <c r="BA74" s="361"/>
      <c r="BB74" s="361"/>
      <c r="BC74" s="361">
        <v>4</v>
      </c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 t="s">
        <v>114</v>
      </c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73">
        <v>6</v>
      </c>
      <c r="CD74" s="73">
        <v>7</v>
      </c>
      <c r="CE74" s="73">
        <v>8</v>
      </c>
      <c r="CF74" s="73">
        <v>9</v>
      </c>
      <c r="CG74" s="73">
        <v>9</v>
      </c>
      <c r="CH74" s="73">
        <v>10</v>
      </c>
      <c r="CI74" s="73">
        <v>11</v>
      </c>
    </row>
    <row r="75" spans="1:87" x14ac:dyDescent="0.25">
      <c r="A75" s="409">
        <v>1</v>
      </c>
      <c r="B75" s="410"/>
      <c r="C75" s="410"/>
      <c r="D75" s="411"/>
      <c r="E75" s="392" t="s">
        <v>294</v>
      </c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  <c r="AK75" s="393"/>
      <c r="AL75" s="393"/>
      <c r="AM75" s="393"/>
      <c r="AN75" s="393"/>
      <c r="AO75" s="393"/>
      <c r="AP75" s="393"/>
      <c r="AQ75" s="393"/>
      <c r="AR75" s="394"/>
      <c r="AS75" s="356">
        <v>0</v>
      </c>
      <c r="AT75" s="356"/>
      <c r="AU75" s="356"/>
      <c r="AV75" s="356"/>
      <c r="AW75" s="356"/>
      <c r="AX75" s="356"/>
      <c r="AY75" s="356"/>
      <c r="AZ75" s="356"/>
      <c r="BA75" s="356"/>
      <c r="BB75" s="356"/>
      <c r="BC75" s="406">
        <v>7000</v>
      </c>
      <c r="BD75" s="407"/>
      <c r="BE75" s="407"/>
      <c r="BF75" s="407"/>
      <c r="BG75" s="407"/>
      <c r="BH75" s="407"/>
      <c r="BI75" s="407"/>
      <c r="BJ75" s="407"/>
      <c r="BK75" s="407"/>
      <c r="BL75" s="407"/>
      <c r="BM75" s="408"/>
      <c r="BN75" s="357">
        <f t="shared" ref="BN75:BN82" si="6">KO75*KY75</f>
        <v>0</v>
      </c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153"/>
      <c r="CD75" s="153">
        <f>BN75</f>
        <v>0</v>
      </c>
      <c r="CE75" s="154"/>
      <c r="CF75" s="153"/>
      <c r="CG75" s="153"/>
      <c r="CH75" s="153"/>
      <c r="CI75" s="153"/>
    </row>
    <row r="76" spans="1:87" x14ac:dyDescent="0.25">
      <c r="A76" s="409">
        <v>2</v>
      </c>
      <c r="B76" s="410"/>
      <c r="C76" s="410"/>
      <c r="D76" s="411"/>
      <c r="E76" s="392" t="s">
        <v>295</v>
      </c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393"/>
      <c r="AM76" s="393"/>
      <c r="AN76" s="393"/>
      <c r="AO76" s="393"/>
      <c r="AP76" s="393"/>
      <c r="AQ76" s="393"/>
      <c r="AR76" s="394"/>
      <c r="AS76" s="356">
        <v>0</v>
      </c>
      <c r="AT76" s="356"/>
      <c r="AU76" s="356"/>
      <c r="AV76" s="356"/>
      <c r="AW76" s="356"/>
      <c r="AX76" s="356"/>
      <c r="AY76" s="356"/>
      <c r="AZ76" s="356"/>
      <c r="BA76" s="356"/>
      <c r="BB76" s="356"/>
      <c r="BC76" s="406">
        <v>25000</v>
      </c>
      <c r="BD76" s="407"/>
      <c r="BE76" s="407"/>
      <c r="BF76" s="407"/>
      <c r="BG76" s="407"/>
      <c r="BH76" s="407"/>
      <c r="BI76" s="407"/>
      <c r="BJ76" s="407"/>
      <c r="BK76" s="407"/>
      <c r="BL76" s="407"/>
      <c r="BM76" s="408"/>
      <c r="BN76" s="357">
        <f t="shared" si="6"/>
        <v>0</v>
      </c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153"/>
      <c r="CD76" s="153">
        <f>BN76</f>
        <v>0</v>
      </c>
      <c r="CE76" s="154"/>
      <c r="CF76" s="153"/>
      <c r="CG76" s="153"/>
      <c r="CH76" s="153"/>
      <c r="CI76" s="153"/>
    </row>
    <row r="77" spans="1:87" ht="27.75" customHeight="1" x14ac:dyDescent="0.25">
      <c r="A77" s="409">
        <v>3</v>
      </c>
      <c r="B77" s="410"/>
      <c r="C77" s="410"/>
      <c r="D77" s="411"/>
      <c r="E77" s="392" t="s">
        <v>296</v>
      </c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4"/>
      <c r="AS77" s="356">
        <v>1</v>
      </c>
      <c r="AT77" s="356"/>
      <c r="AU77" s="356"/>
      <c r="AV77" s="356"/>
      <c r="AW77" s="356"/>
      <c r="AX77" s="356"/>
      <c r="AY77" s="356"/>
      <c r="AZ77" s="356"/>
      <c r="BA77" s="356"/>
      <c r="BB77" s="356"/>
      <c r="BC77" s="406">
        <f>80000-12202</f>
        <v>67798</v>
      </c>
      <c r="BD77" s="407"/>
      <c r="BE77" s="407"/>
      <c r="BF77" s="407"/>
      <c r="BG77" s="407"/>
      <c r="BH77" s="407"/>
      <c r="BI77" s="407"/>
      <c r="BJ77" s="407"/>
      <c r="BK77" s="407"/>
      <c r="BL77" s="407"/>
      <c r="BM77" s="408"/>
      <c r="BN77" s="357">
        <f>AS77*BC77</f>
        <v>67798</v>
      </c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153"/>
      <c r="CD77" s="153"/>
      <c r="CE77" s="154"/>
      <c r="CF77" s="153"/>
      <c r="CG77" s="153"/>
      <c r="CH77" s="153"/>
      <c r="CI77" s="155">
        <f>BN77</f>
        <v>67798</v>
      </c>
    </row>
    <row r="78" spans="1:87" ht="27.75" customHeight="1" x14ac:dyDescent="0.25">
      <c r="A78" s="409">
        <v>4</v>
      </c>
      <c r="B78" s="410"/>
      <c r="C78" s="410"/>
      <c r="D78" s="411"/>
      <c r="E78" s="392" t="s">
        <v>297</v>
      </c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4"/>
      <c r="AS78" s="356">
        <v>1</v>
      </c>
      <c r="AT78" s="356"/>
      <c r="AU78" s="356"/>
      <c r="AV78" s="356"/>
      <c r="AW78" s="356"/>
      <c r="AX78" s="356"/>
      <c r="AY78" s="356"/>
      <c r="AZ78" s="356"/>
      <c r="BA78" s="356"/>
      <c r="BB78" s="356"/>
      <c r="BC78" s="406">
        <f>70000+15000</f>
        <v>85000</v>
      </c>
      <c r="BD78" s="407"/>
      <c r="BE78" s="407"/>
      <c r="BF78" s="407"/>
      <c r="BG78" s="407"/>
      <c r="BH78" s="407"/>
      <c r="BI78" s="407"/>
      <c r="BJ78" s="407"/>
      <c r="BK78" s="407"/>
      <c r="BL78" s="407"/>
      <c r="BM78" s="408"/>
      <c r="BN78" s="357">
        <f>AS78*BC78</f>
        <v>85000</v>
      </c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153"/>
      <c r="CD78" s="153"/>
      <c r="CE78" s="154"/>
      <c r="CF78" s="153"/>
      <c r="CG78" s="153"/>
      <c r="CH78" s="153"/>
      <c r="CI78" s="155">
        <f>BN78</f>
        <v>85000</v>
      </c>
    </row>
    <row r="79" spans="1:87" x14ac:dyDescent="0.25">
      <c r="A79" s="409">
        <v>5</v>
      </c>
      <c r="B79" s="410"/>
      <c r="C79" s="410"/>
      <c r="D79" s="411"/>
      <c r="E79" s="392" t="s">
        <v>298</v>
      </c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393"/>
      <c r="AN79" s="393"/>
      <c r="AO79" s="393"/>
      <c r="AP79" s="393"/>
      <c r="AQ79" s="393"/>
      <c r="AR79" s="394"/>
      <c r="AS79" s="356">
        <v>1</v>
      </c>
      <c r="AT79" s="356"/>
      <c r="AU79" s="356"/>
      <c r="AV79" s="356"/>
      <c r="AW79" s="356"/>
      <c r="AX79" s="356"/>
      <c r="AY79" s="356"/>
      <c r="AZ79" s="356"/>
      <c r="BA79" s="356"/>
      <c r="BB79" s="356"/>
      <c r="BC79" s="406">
        <f>15500+1019.7+3360.3</f>
        <v>19880</v>
      </c>
      <c r="BD79" s="407"/>
      <c r="BE79" s="407"/>
      <c r="BF79" s="407"/>
      <c r="BG79" s="407"/>
      <c r="BH79" s="407"/>
      <c r="BI79" s="407"/>
      <c r="BJ79" s="407"/>
      <c r="BK79" s="407"/>
      <c r="BL79" s="407"/>
      <c r="BM79" s="408"/>
      <c r="BN79" s="357">
        <f t="shared" si="6"/>
        <v>19880</v>
      </c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153"/>
      <c r="CD79" s="155">
        <f>BN79</f>
        <v>19880</v>
      </c>
      <c r="CE79" s="154"/>
      <c r="CF79" s="153"/>
      <c r="CG79" s="153"/>
      <c r="CH79" s="153"/>
      <c r="CI79" s="153"/>
    </row>
    <row r="80" spans="1:87" x14ac:dyDescent="0.25">
      <c r="A80" s="409">
        <v>6</v>
      </c>
      <c r="B80" s="410"/>
      <c r="C80" s="410"/>
      <c r="D80" s="411"/>
      <c r="E80" s="392" t="s">
        <v>299</v>
      </c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93"/>
      <c r="AN80" s="393"/>
      <c r="AO80" s="393"/>
      <c r="AP80" s="393"/>
      <c r="AQ80" s="393"/>
      <c r="AR80" s="394"/>
      <c r="AS80" s="356">
        <v>1</v>
      </c>
      <c r="AT80" s="356"/>
      <c r="AU80" s="356"/>
      <c r="AV80" s="356"/>
      <c r="AW80" s="356"/>
      <c r="AX80" s="356"/>
      <c r="AY80" s="356"/>
      <c r="AZ80" s="356"/>
      <c r="BA80" s="356"/>
      <c r="BB80" s="356"/>
      <c r="BC80" s="406">
        <v>191000</v>
      </c>
      <c r="BD80" s="407"/>
      <c r="BE80" s="407"/>
      <c r="BF80" s="407"/>
      <c r="BG80" s="407"/>
      <c r="BH80" s="407"/>
      <c r="BI80" s="407"/>
      <c r="BJ80" s="407"/>
      <c r="BK80" s="407"/>
      <c r="BL80" s="407"/>
      <c r="BM80" s="408"/>
      <c r="BN80" s="357">
        <f>AS80*BC80</f>
        <v>191000</v>
      </c>
      <c r="BO80" s="357"/>
      <c r="BP80" s="357"/>
      <c r="BQ80" s="357"/>
      <c r="BR80" s="357"/>
      <c r="BS80" s="357"/>
      <c r="BT80" s="357"/>
      <c r="BU80" s="357"/>
      <c r="BV80" s="357"/>
      <c r="BW80" s="357"/>
      <c r="BX80" s="357"/>
      <c r="BY80" s="357"/>
      <c r="BZ80" s="357"/>
      <c r="CA80" s="357"/>
      <c r="CB80" s="357"/>
      <c r="CC80" s="153"/>
      <c r="CD80" s="155">
        <f>BN80</f>
        <v>191000</v>
      </c>
      <c r="CE80" s="154"/>
      <c r="CF80" s="153"/>
      <c r="CG80" s="153"/>
      <c r="CH80" s="153"/>
      <c r="CI80" s="153"/>
    </row>
    <row r="81" spans="1:87" ht="42" customHeight="1" x14ac:dyDescent="0.25">
      <c r="A81" s="409">
        <v>7</v>
      </c>
      <c r="B81" s="410"/>
      <c r="C81" s="410"/>
      <c r="D81" s="411"/>
      <c r="E81" s="392" t="s">
        <v>300</v>
      </c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4"/>
      <c r="AS81" s="356">
        <v>1</v>
      </c>
      <c r="AT81" s="356"/>
      <c r="AU81" s="356"/>
      <c r="AV81" s="356"/>
      <c r="AW81" s="356"/>
      <c r="AX81" s="356"/>
      <c r="AY81" s="356"/>
      <c r="AZ81" s="356"/>
      <c r="BA81" s="356"/>
      <c r="BB81" s="356"/>
      <c r="BC81" s="406">
        <f>CF81</f>
        <v>0</v>
      </c>
      <c r="BD81" s="407"/>
      <c r="BE81" s="407"/>
      <c r="BF81" s="407"/>
      <c r="BG81" s="407"/>
      <c r="BH81" s="407"/>
      <c r="BI81" s="407"/>
      <c r="BJ81" s="407"/>
      <c r="BK81" s="407"/>
      <c r="BL81" s="407"/>
      <c r="BM81" s="408"/>
      <c r="BN81" s="357">
        <f>AS81*BC81</f>
        <v>0</v>
      </c>
      <c r="BO81" s="357"/>
      <c r="BP81" s="357"/>
      <c r="BQ81" s="357"/>
      <c r="BR81" s="357"/>
      <c r="BS81" s="357"/>
      <c r="BT81" s="357"/>
      <c r="BU81" s="357"/>
      <c r="BV81" s="357"/>
      <c r="BW81" s="357"/>
      <c r="BX81" s="357"/>
      <c r="BY81" s="357"/>
      <c r="BZ81" s="357"/>
      <c r="CA81" s="357"/>
      <c r="CB81" s="357"/>
      <c r="CC81" s="153"/>
      <c r="CD81" s="153"/>
      <c r="CE81" s="156">
        <v>963121077</v>
      </c>
      <c r="CF81" s="153">
        <v>0</v>
      </c>
      <c r="CG81" s="153"/>
      <c r="CH81" s="153"/>
      <c r="CI81" s="153"/>
    </row>
    <row r="82" spans="1:87" ht="38.25" customHeight="1" x14ac:dyDescent="0.25">
      <c r="A82" s="409">
        <v>8</v>
      </c>
      <c r="B82" s="410"/>
      <c r="C82" s="410"/>
      <c r="D82" s="411"/>
      <c r="E82" s="392" t="s">
        <v>300</v>
      </c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4"/>
      <c r="AS82" s="356">
        <v>1</v>
      </c>
      <c r="AT82" s="356"/>
      <c r="AU82" s="356"/>
      <c r="AV82" s="356"/>
      <c r="AW82" s="356"/>
      <c r="AX82" s="356"/>
      <c r="AY82" s="356"/>
      <c r="AZ82" s="356"/>
      <c r="BA82" s="356"/>
      <c r="BB82" s="356"/>
      <c r="BC82" s="406">
        <f>CG82</f>
        <v>0</v>
      </c>
      <c r="BD82" s="407"/>
      <c r="BE82" s="407"/>
      <c r="BF82" s="407"/>
      <c r="BG82" s="407"/>
      <c r="BH82" s="407"/>
      <c r="BI82" s="407"/>
      <c r="BJ82" s="407"/>
      <c r="BK82" s="407"/>
      <c r="BL82" s="407"/>
      <c r="BM82" s="408"/>
      <c r="BN82" s="357">
        <f t="shared" si="6"/>
        <v>0</v>
      </c>
      <c r="BO82" s="357"/>
      <c r="BP82" s="357"/>
      <c r="BQ82" s="357"/>
      <c r="BR82" s="357"/>
      <c r="BS82" s="357"/>
      <c r="BT82" s="357"/>
      <c r="BU82" s="357"/>
      <c r="BV82" s="357"/>
      <c r="BW82" s="357"/>
      <c r="BX82" s="357"/>
      <c r="BY82" s="357"/>
      <c r="BZ82" s="357"/>
      <c r="CA82" s="357"/>
      <c r="CB82" s="357"/>
      <c r="CC82" s="153"/>
      <c r="CD82" s="153"/>
      <c r="CE82" s="156">
        <v>963221077</v>
      </c>
      <c r="CF82" s="153"/>
      <c r="CG82" s="153">
        <v>0</v>
      </c>
      <c r="CH82" s="153"/>
      <c r="CI82" s="153"/>
    </row>
    <row r="83" spans="1:87" ht="36.75" customHeight="1" x14ac:dyDescent="0.25">
      <c r="A83" s="409">
        <v>9</v>
      </c>
      <c r="B83" s="410"/>
      <c r="C83" s="410"/>
      <c r="D83" s="411"/>
      <c r="E83" s="392" t="s">
        <v>300</v>
      </c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4"/>
      <c r="AS83" s="356">
        <v>1</v>
      </c>
      <c r="AT83" s="356"/>
      <c r="AU83" s="356"/>
      <c r="AV83" s="356"/>
      <c r="AW83" s="356"/>
      <c r="AX83" s="356"/>
      <c r="AY83" s="356"/>
      <c r="AZ83" s="356"/>
      <c r="BA83" s="356"/>
      <c r="BB83" s="356"/>
      <c r="BC83" s="406">
        <f>CH83</f>
        <v>0</v>
      </c>
      <c r="BD83" s="407"/>
      <c r="BE83" s="407"/>
      <c r="BF83" s="407"/>
      <c r="BG83" s="407"/>
      <c r="BH83" s="407"/>
      <c r="BI83" s="407"/>
      <c r="BJ83" s="407"/>
      <c r="BK83" s="407"/>
      <c r="BL83" s="407"/>
      <c r="BM83" s="408"/>
      <c r="BN83" s="357">
        <f>AS83*BC83</f>
        <v>0</v>
      </c>
      <c r="BO83" s="357"/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153"/>
      <c r="CD83" s="153"/>
      <c r="CE83" s="156">
        <v>963421077</v>
      </c>
      <c r="CF83" s="153"/>
      <c r="CG83" s="153"/>
      <c r="CH83" s="153">
        <v>0</v>
      </c>
      <c r="CI83" s="153"/>
    </row>
    <row r="84" spans="1:87" ht="30.75" customHeight="1" x14ac:dyDescent="0.25">
      <c r="A84" s="409">
        <v>10</v>
      </c>
      <c r="B84" s="410"/>
      <c r="C84" s="410"/>
      <c r="D84" s="411"/>
      <c r="E84" s="355" t="s">
        <v>301</v>
      </c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6">
        <v>1</v>
      </c>
      <c r="AT84" s="356"/>
      <c r="AU84" s="356"/>
      <c r="AV84" s="356"/>
      <c r="AW84" s="356"/>
      <c r="AX84" s="356"/>
      <c r="AY84" s="356"/>
      <c r="AZ84" s="356"/>
      <c r="BA84" s="356"/>
      <c r="BB84" s="356"/>
      <c r="BC84" s="405">
        <f>CH84</f>
        <v>110000</v>
      </c>
      <c r="BD84" s="405"/>
      <c r="BE84" s="405"/>
      <c r="BF84" s="405"/>
      <c r="BG84" s="405"/>
      <c r="BH84" s="405"/>
      <c r="BI84" s="405"/>
      <c r="BJ84" s="405"/>
      <c r="BK84" s="405"/>
      <c r="BL84" s="405"/>
      <c r="BM84" s="405"/>
      <c r="BN84" s="389">
        <f>AS84*BC84</f>
        <v>110000</v>
      </c>
      <c r="BO84" s="390"/>
      <c r="BP84" s="390"/>
      <c r="BQ84" s="390"/>
      <c r="BR84" s="390"/>
      <c r="BS84" s="390"/>
      <c r="BT84" s="390"/>
      <c r="BU84" s="390"/>
      <c r="BV84" s="390"/>
      <c r="BW84" s="390"/>
      <c r="BX84" s="390"/>
      <c r="BY84" s="390"/>
      <c r="BZ84" s="390"/>
      <c r="CA84" s="390"/>
      <c r="CB84" s="391"/>
      <c r="CC84" s="83"/>
      <c r="CD84" s="83"/>
      <c r="CE84" s="156">
        <v>963321083</v>
      </c>
      <c r="CF84" s="133"/>
      <c r="CG84" s="133"/>
      <c r="CH84" s="157">
        <v>110000</v>
      </c>
      <c r="CI84" s="83"/>
    </row>
    <row r="85" spans="1:87" ht="17.25" customHeight="1" x14ac:dyDescent="0.25">
      <c r="A85" s="409">
        <v>11</v>
      </c>
      <c r="B85" s="410"/>
      <c r="C85" s="410"/>
      <c r="D85" s="411"/>
      <c r="E85" s="355" t="s">
        <v>302</v>
      </c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6">
        <v>1</v>
      </c>
      <c r="AT85" s="356"/>
      <c r="AU85" s="356"/>
      <c r="AV85" s="356"/>
      <c r="AW85" s="356"/>
      <c r="AX85" s="356"/>
      <c r="AY85" s="356"/>
      <c r="AZ85" s="356"/>
      <c r="BA85" s="356"/>
      <c r="BB85" s="356"/>
      <c r="BC85" s="405">
        <f>CH85</f>
        <v>60000</v>
      </c>
      <c r="BD85" s="405"/>
      <c r="BE85" s="405"/>
      <c r="BF85" s="405"/>
      <c r="BG85" s="405"/>
      <c r="BH85" s="405"/>
      <c r="BI85" s="405"/>
      <c r="BJ85" s="405"/>
      <c r="BK85" s="405"/>
      <c r="BL85" s="405"/>
      <c r="BM85" s="405"/>
      <c r="BN85" s="389">
        <f>AS85*BC85</f>
        <v>60000</v>
      </c>
      <c r="BO85" s="390"/>
      <c r="BP85" s="390"/>
      <c r="BQ85" s="390"/>
      <c r="BR85" s="390"/>
      <c r="BS85" s="390"/>
      <c r="BT85" s="390"/>
      <c r="BU85" s="390"/>
      <c r="BV85" s="390"/>
      <c r="BW85" s="390"/>
      <c r="BX85" s="390"/>
      <c r="BY85" s="390"/>
      <c r="BZ85" s="390"/>
      <c r="CA85" s="390"/>
      <c r="CB85" s="391"/>
      <c r="CC85" s="83"/>
      <c r="CD85" s="83"/>
      <c r="CE85" s="156">
        <v>963321083</v>
      </c>
      <c r="CF85" s="133"/>
      <c r="CG85" s="133"/>
      <c r="CH85" s="157">
        <v>60000</v>
      </c>
      <c r="CI85" s="83"/>
    </row>
    <row r="86" spans="1:87" x14ac:dyDescent="0.25">
      <c r="A86" s="398" t="s">
        <v>303</v>
      </c>
      <c r="B86" s="396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396"/>
      <c r="AO86" s="396"/>
      <c r="AP86" s="396"/>
      <c r="AQ86" s="396"/>
      <c r="AR86" s="397"/>
      <c r="AS86" s="236" t="s">
        <v>1</v>
      </c>
      <c r="AT86" s="236"/>
      <c r="AU86" s="236"/>
      <c r="AV86" s="236"/>
      <c r="AW86" s="236"/>
      <c r="AX86" s="236"/>
      <c r="AY86" s="236"/>
      <c r="AZ86" s="236"/>
      <c r="BA86" s="236"/>
      <c r="BB86" s="236"/>
      <c r="BC86" s="236" t="s">
        <v>1</v>
      </c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383">
        <f>SUM(BN75:CB85)</f>
        <v>533678</v>
      </c>
      <c r="BO86" s="383"/>
      <c r="BP86" s="383"/>
      <c r="BQ86" s="383"/>
      <c r="BR86" s="383"/>
      <c r="BS86" s="383"/>
      <c r="BT86" s="383"/>
      <c r="BU86" s="383"/>
      <c r="BV86" s="383"/>
      <c r="BW86" s="383"/>
      <c r="BX86" s="383"/>
      <c r="BY86" s="383"/>
      <c r="BZ86" s="383"/>
      <c r="CA86" s="383"/>
      <c r="CB86" s="383"/>
      <c r="CC86" s="142"/>
      <c r="CD86" s="142">
        <f>SUM(CD75:CD85)</f>
        <v>210880</v>
      </c>
      <c r="CE86" s="158"/>
      <c r="CF86" s="142">
        <f>SUM(CF75:CF83)</f>
        <v>0</v>
      </c>
      <c r="CG86" s="142">
        <f>SUM(CG75:CG83)</f>
        <v>0</v>
      </c>
      <c r="CH86" s="142">
        <f>SUM(CH75:CH85)</f>
        <v>170000</v>
      </c>
      <c r="CI86" s="142">
        <f>SUM(CI75:CI83)</f>
        <v>152798</v>
      </c>
    </row>
    <row r="87" spans="1:87" ht="8.25" customHeight="1" x14ac:dyDescent="0.25"/>
    <row r="88" spans="1:87" ht="15.6" x14ac:dyDescent="0.3">
      <c r="A88" s="70" t="s">
        <v>304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</row>
    <row r="89" spans="1:87" ht="10.5" customHeight="1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7"/>
      <c r="CD89" s="67"/>
      <c r="CE89" s="67"/>
      <c r="CF89" s="67"/>
      <c r="CG89" s="67"/>
      <c r="CH89" s="67"/>
      <c r="CI89" s="67"/>
    </row>
    <row r="90" spans="1:87" ht="12.75" customHeight="1" x14ac:dyDescent="0.25">
      <c r="A90" s="232" t="s">
        <v>56</v>
      </c>
      <c r="B90" s="232"/>
      <c r="C90" s="232"/>
      <c r="D90" s="232"/>
      <c r="E90" s="361" t="s">
        <v>110</v>
      </c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 t="s">
        <v>241</v>
      </c>
      <c r="AT90" s="361"/>
      <c r="AU90" s="361"/>
      <c r="AV90" s="361"/>
      <c r="AW90" s="361"/>
      <c r="AX90" s="361"/>
      <c r="AY90" s="361"/>
      <c r="AZ90" s="361"/>
      <c r="BA90" s="361"/>
      <c r="BB90" s="361"/>
      <c r="BC90" s="232" t="s">
        <v>305</v>
      </c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361" t="s">
        <v>113</v>
      </c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236" t="s">
        <v>61</v>
      </c>
      <c r="CD90" s="236"/>
      <c r="CE90" s="236"/>
      <c r="CF90" s="236"/>
      <c r="CG90" s="236"/>
      <c r="CH90" s="236"/>
      <c r="CI90" s="236"/>
    </row>
    <row r="91" spans="1:87" x14ac:dyDescent="0.25">
      <c r="A91" s="232"/>
      <c r="B91" s="232"/>
      <c r="C91" s="232"/>
      <c r="D91" s="232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232" t="s">
        <v>66</v>
      </c>
      <c r="CD91" s="232"/>
      <c r="CE91" s="239" t="s">
        <v>67</v>
      </c>
      <c r="CF91" s="240"/>
      <c r="CG91" s="240"/>
      <c r="CH91" s="241"/>
      <c r="CI91" s="384" t="s">
        <v>68</v>
      </c>
    </row>
    <row r="92" spans="1:87" x14ac:dyDescent="0.25">
      <c r="A92" s="232"/>
      <c r="B92" s="232"/>
      <c r="C92" s="232"/>
      <c r="D92" s="232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231" t="s">
        <v>69</v>
      </c>
      <c r="CD92" s="231" t="s">
        <v>70</v>
      </c>
      <c r="CE92" s="387" t="s">
        <v>71</v>
      </c>
      <c r="CF92" s="231" t="s">
        <v>250</v>
      </c>
      <c r="CG92" s="231" t="s">
        <v>69</v>
      </c>
      <c r="CH92" s="231" t="s">
        <v>70</v>
      </c>
      <c r="CI92" s="385"/>
    </row>
    <row r="93" spans="1:87" x14ac:dyDescent="0.25">
      <c r="A93" s="232"/>
      <c r="B93" s="232"/>
      <c r="C93" s="232"/>
      <c r="D93" s="232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231"/>
      <c r="CD93" s="231"/>
      <c r="CE93" s="388"/>
      <c r="CF93" s="231"/>
      <c r="CG93" s="231"/>
      <c r="CH93" s="231"/>
      <c r="CI93" s="386"/>
    </row>
    <row r="94" spans="1:87" x14ac:dyDescent="0.25">
      <c r="A94" s="361">
        <v>1</v>
      </c>
      <c r="B94" s="361"/>
      <c r="C94" s="361"/>
      <c r="D94" s="361"/>
      <c r="E94" s="361">
        <v>2</v>
      </c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>
        <v>3</v>
      </c>
      <c r="AT94" s="361"/>
      <c r="AU94" s="361"/>
      <c r="AV94" s="361"/>
      <c r="AW94" s="361"/>
      <c r="AX94" s="361"/>
      <c r="AY94" s="361"/>
      <c r="AZ94" s="361"/>
      <c r="BA94" s="361"/>
      <c r="BB94" s="361"/>
      <c r="BC94" s="361">
        <v>4</v>
      </c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 t="s">
        <v>114</v>
      </c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73">
        <v>6</v>
      </c>
      <c r="CD94" s="73">
        <v>7</v>
      </c>
      <c r="CE94" s="73">
        <v>8</v>
      </c>
      <c r="CF94" s="73">
        <v>9</v>
      </c>
      <c r="CG94" s="73">
        <v>9</v>
      </c>
      <c r="CH94" s="73">
        <v>10</v>
      </c>
      <c r="CI94" s="73">
        <v>11</v>
      </c>
    </row>
    <row r="95" spans="1:87" x14ac:dyDescent="0.25">
      <c r="A95" s="354"/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B95" s="354"/>
      <c r="AC95" s="354"/>
      <c r="AD95" s="354"/>
      <c r="AE95" s="354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  <c r="AP95" s="354"/>
      <c r="AQ95" s="354"/>
      <c r="AR95" s="354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6"/>
      <c r="BN95" s="356"/>
      <c r="BO95" s="356"/>
      <c r="BP95" s="356"/>
      <c r="BQ95" s="356"/>
      <c r="BR95" s="356"/>
      <c r="BS95" s="356"/>
      <c r="BT95" s="356"/>
      <c r="BU95" s="356"/>
      <c r="BV95" s="356"/>
      <c r="BW95" s="356"/>
      <c r="BX95" s="356"/>
      <c r="BY95" s="356"/>
      <c r="BZ95" s="356"/>
      <c r="CA95" s="356"/>
      <c r="CB95" s="356"/>
      <c r="CC95" s="83"/>
      <c r="CD95" s="83"/>
      <c r="CE95" s="83"/>
      <c r="CF95" s="83"/>
      <c r="CG95" s="83"/>
      <c r="CH95" s="83"/>
      <c r="CI95" s="83"/>
    </row>
    <row r="96" spans="1:87" x14ac:dyDescent="0.25">
      <c r="A96" s="228" t="s">
        <v>306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30"/>
      <c r="AS96" s="236" t="s">
        <v>1</v>
      </c>
      <c r="AT96" s="236"/>
      <c r="AU96" s="236"/>
      <c r="AV96" s="236"/>
      <c r="AW96" s="236"/>
      <c r="AX96" s="236"/>
      <c r="AY96" s="236"/>
      <c r="AZ96" s="236"/>
      <c r="BA96" s="236"/>
      <c r="BB96" s="236"/>
      <c r="BC96" s="236" t="s">
        <v>1</v>
      </c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356"/>
      <c r="BO96" s="356"/>
      <c r="BP96" s="356"/>
      <c r="BQ96" s="356"/>
      <c r="BR96" s="356"/>
      <c r="BS96" s="356"/>
      <c r="BT96" s="356"/>
      <c r="BU96" s="356"/>
      <c r="BV96" s="356"/>
      <c r="BW96" s="356"/>
      <c r="BX96" s="356"/>
      <c r="BY96" s="356"/>
      <c r="BZ96" s="356"/>
      <c r="CA96" s="356"/>
      <c r="CB96" s="356"/>
      <c r="CC96" s="83"/>
      <c r="CD96" s="83"/>
      <c r="CE96" s="83"/>
      <c r="CF96" s="83"/>
      <c r="CG96" s="83"/>
      <c r="CH96" s="83"/>
      <c r="CI96" s="83"/>
    </row>
    <row r="97" spans="1:112" x14ac:dyDescent="0.25">
      <c r="A97" s="354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6"/>
      <c r="BN97" s="356"/>
      <c r="BO97" s="356"/>
      <c r="BP97" s="356"/>
      <c r="BQ97" s="356"/>
      <c r="BR97" s="356"/>
      <c r="BS97" s="356"/>
      <c r="BT97" s="356"/>
      <c r="BU97" s="356"/>
      <c r="BV97" s="356"/>
      <c r="BW97" s="356"/>
      <c r="BX97" s="356"/>
      <c r="BY97" s="356"/>
      <c r="BZ97" s="356"/>
      <c r="CA97" s="356"/>
      <c r="CB97" s="356"/>
      <c r="CC97" s="83"/>
      <c r="CD97" s="83"/>
      <c r="CE97" s="83"/>
      <c r="CF97" s="83"/>
      <c r="CG97" s="83"/>
      <c r="CH97" s="83"/>
      <c r="CI97" s="83"/>
    </row>
    <row r="98" spans="1:112" ht="18" customHeight="1" x14ac:dyDescent="0.25">
      <c r="A98" s="228" t="s">
        <v>307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30"/>
      <c r="AS98" s="236" t="s">
        <v>1</v>
      </c>
      <c r="AT98" s="236"/>
      <c r="AU98" s="236"/>
      <c r="AV98" s="236"/>
      <c r="AW98" s="236"/>
      <c r="AX98" s="236"/>
      <c r="AY98" s="236"/>
      <c r="AZ98" s="236"/>
      <c r="BA98" s="236"/>
      <c r="BB98" s="236"/>
      <c r="BC98" s="236" t="s">
        <v>1</v>
      </c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356"/>
      <c r="BO98" s="356"/>
      <c r="BP98" s="356"/>
      <c r="BQ98" s="356"/>
      <c r="BR98" s="356"/>
      <c r="BS98" s="356"/>
      <c r="BT98" s="356"/>
      <c r="BU98" s="356"/>
      <c r="BV98" s="356"/>
      <c r="BW98" s="356"/>
      <c r="BX98" s="356"/>
      <c r="BY98" s="356"/>
      <c r="BZ98" s="356"/>
      <c r="CA98" s="356"/>
      <c r="CB98" s="356"/>
      <c r="CC98" s="83"/>
      <c r="CD98" s="83"/>
      <c r="CE98" s="83"/>
      <c r="CF98" s="83"/>
      <c r="CG98" s="83"/>
      <c r="CH98" s="83"/>
      <c r="CI98" s="83"/>
    </row>
    <row r="99" spans="1:112" x14ac:dyDescent="0.25">
      <c r="A99" s="354">
        <v>1</v>
      </c>
      <c r="B99" s="354"/>
      <c r="C99" s="354"/>
      <c r="D99" s="354"/>
      <c r="E99" s="355" t="s">
        <v>308</v>
      </c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6">
        <v>100</v>
      </c>
      <c r="AT99" s="356"/>
      <c r="AU99" s="356"/>
      <c r="AV99" s="356"/>
      <c r="AW99" s="356"/>
      <c r="AX99" s="356"/>
      <c r="AY99" s="356"/>
      <c r="AZ99" s="356"/>
      <c r="BA99" s="356"/>
      <c r="BB99" s="356"/>
      <c r="BC99" s="400">
        <v>59</v>
      </c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389">
        <f>AS99*BC99</f>
        <v>5900</v>
      </c>
      <c r="BO99" s="390"/>
      <c r="BP99" s="390"/>
      <c r="BQ99" s="390"/>
      <c r="BR99" s="390"/>
      <c r="BS99" s="390"/>
      <c r="BT99" s="390"/>
      <c r="BU99" s="390"/>
      <c r="BV99" s="390"/>
      <c r="BW99" s="390"/>
      <c r="BX99" s="390"/>
      <c r="BY99" s="390"/>
      <c r="BZ99" s="390"/>
      <c r="CA99" s="390"/>
      <c r="CB99" s="391"/>
      <c r="CC99" s="133"/>
      <c r="CD99" s="83"/>
      <c r="CE99" s="83"/>
      <c r="CF99" s="83"/>
      <c r="CG99" s="83"/>
      <c r="CH99" s="83"/>
      <c r="CI99" s="133">
        <f>BN99</f>
        <v>5900</v>
      </c>
    </row>
    <row r="100" spans="1:112" s="159" customFormat="1" x14ac:dyDescent="0.25">
      <c r="A100" s="398" t="s">
        <v>309</v>
      </c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396"/>
      <c r="AP100" s="396"/>
      <c r="AQ100" s="396"/>
      <c r="AR100" s="397"/>
      <c r="AS100" s="412" t="s">
        <v>1</v>
      </c>
      <c r="AT100" s="412"/>
      <c r="AU100" s="412"/>
      <c r="AV100" s="412"/>
      <c r="AW100" s="412"/>
      <c r="AX100" s="412"/>
      <c r="AY100" s="412"/>
      <c r="AZ100" s="412"/>
      <c r="BA100" s="412"/>
      <c r="BB100" s="412"/>
      <c r="BC100" s="412" t="s">
        <v>1</v>
      </c>
      <c r="BD100" s="412"/>
      <c r="BE100" s="412"/>
      <c r="BF100" s="412"/>
      <c r="BG100" s="412"/>
      <c r="BH100" s="412"/>
      <c r="BI100" s="412"/>
      <c r="BJ100" s="412"/>
      <c r="BK100" s="412"/>
      <c r="BL100" s="412"/>
      <c r="BM100" s="412"/>
      <c r="BN100" s="395">
        <f>BN99</f>
        <v>5900</v>
      </c>
      <c r="BO100" s="414"/>
      <c r="BP100" s="414"/>
      <c r="BQ100" s="414"/>
      <c r="BR100" s="414"/>
      <c r="BS100" s="414"/>
      <c r="BT100" s="414"/>
      <c r="BU100" s="414"/>
      <c r="BV100" s="414"/>
      <c r="BW100" s="414"/>
      <c r="BX100" s="414"/>
      <c r="BY100" s="414"/>
      <c r="BZ100" s="414"/>
      <c r="CA100" s="414"/>
      <c r="CB100" s="415"/>
      <c r="CC100" s="135"/>
      <c r="CD100" s="160"/>
      <c r="CE100" s="160"/>
      <c r="CF100" s="160"/>
      <c r="CG100" s="160"/>
      <c r="CH100" s="160"/>
      <c r="CI100" s="135">
        <f>CI99</f>
        <v>5900</v>
      </c>
    </row>
    <row r="101" spans="1:112" x14ac:dyDescent="0.25">
      <c r="A101" s="354"/>
      <c r="B101" s="354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4"/>
      <c r="AM101" s="354"/>
      <c r="AN101" s="354"/>
      <c r="AO101" s="354"/>
      <c r="AP101" s="354"/>
      <c r="AQ101" s="354"/>
      <c r="AR101" s="354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413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83"/>
      <c r="CD101" s="83"/>
      <c r="CE101" s="83"/>
      <c r="CF101" s="83"/>
      <c r="CG101" s="83"/>
      <c r="CH101" s="83"/>
      <c r="CI101" s="83"/>
    </row>
    <row r="102" spans="1:112" x14ac:dyDescent="0.25">
      <c r="A102" s="354">
        <v>1</v>
      </c>
      <c r="B102" s="354"/>
      <c r="C102" s="354"/>
      <c r="D102" s="354"/>
      <c r="E102" s="354" t="s">
        <v>310</v>
      </c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356">
        <v>1</v>
      </c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89">
        <f>CD102</f>
        <v>2040</v>
      </c>
      <c r="BD102" s="390"/>
      <c r="BE102" s="390"/>
      <c r="BF102" s="390"/>
      <c r="BG102" s="390"/>
      <c r="BH102" s="390"/>
      <c r="BI102" s="390"/>
      <c r="BJ102" s="390"/>
      <c r="BK102" s="390"/>
      <c r="BL102" s="390"/>
      <c r="BM102" s="390"/>
      <c r="BN102" s="389">
        <f>BC102*AS102</f>
        <v>2040</v>
      </c>
      <c r="BO102" s="390"/>
      <c r="BP102" s="390"/>
      <c r="BQ102" s="390"/>
      <c r="BR102" s="390"/>
      <c r="BS102" s="390"/>
      <c r="BT102" s="390"/>
      <c r="BU102" s="390"/>
      <c r="BV102" s="390"/>
      <c r="BW102" s="390"/>
      <c r="BX102" s="390"/>
      <c r="BY102" s="390"/>
      <c r="BZ102" s="390"/>
      <c r="CA102" s="390"/>
      <c r="CB102" s="391"/>
      <c r="CC102" s="83"/>
      <c r="CD102" s="133">
        <f>2040</f>
        <v>2040</v>
      </c>
      <c r="CE102" s="83"/>
      <c r="CF102" s="83"/>
      <c r="CG102" s="83"/>
      <c r="CH102" s="83"/>
      <c r="CI102" s="133">
        <v>0</v>
      </c>
    </row>
    <row r="103" spans="1:112" x14ac:dyDescent="0.25">
      <c r="A103" s="398" t="s">
        <v>311</v>
      </c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396"/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96"/>
      <c r="AN103" s="396"/>
      <c r="AO103" s="396"/>
      <c r="AP103" s="396"/>
      <c r="AQ103" s="396"/>
      <c r="AR103" s="397"/>
      <c r="AS103" s="412" t="s">
        <v>1</v>
      </c>
      <c r="AT103" s="412"/>
      <c r="AU103" s="412"/>
      <c r="AV103" s="412"/>
      <c r="AW103" s="412"/>
      <c r="AX103" s="412"/>
      <c r="AY103" s="412"/>
      <c r="AZ103" s="412"/>
      <c r="BA103" s="412"/>
      <c r="BB103" s="412"/>
      <c r="BC103" s="412" t="s">
        <v>1</v>
      </c>
      <c r="BD103" s="412"/>
      <c r="BE103" s="412"/>
      <c r="BF103" s="412"/>
      <c r="BG103" s="412"/>
      <c r="BH103" s="412"/>
      <c r="BI103" s="412"/>
      <c r="BJ103" s="412"/>
      <c r="BK103" s="412"/>
      <c r="BL103" s="412"/>
      <c r="BM103" s="412"/>
      <c r="BN103" s="395">
        <f>BN102</f>
        <v>2040</v>
      </c>
      <c r="BO103" s="414"/>
      <c r="BP103" s="414"/>
      <c r="BQ103" s="414"/>
      <c r="BR103" s="414"/>
      <c r="BS103" s="414"/>
      <c r="BT103" s="414"/>
      <c r="BU103" s="414"/>
      <c r="BV103" s="414"/>
      <c r="BW103" s="414"/>
      <c r="BX103" s="414"/>
      <c r="BY103" s="414"/>
      <c r="BZ103" s="414"/>
      <c r="CA103" s="414"/>
      <c r="CB103" s="415"/>
      <c r="CC103" s="160"/>
      <c r="CD103" s="135">
        <f>CD102</f>
        <v>2040</v>
      </c>
      <c r="CE103" s="160"/>
      <c r="CF103" s="160"/>
      <c r="CG103" s="160"/>
      <c r="CH103" s="160"/>
      <c r="CI103" s="135">
        <f>CI102</f>
        <v>0</v>
      </c>
    </row>
    <row r="104" spans="1:112" ht="21" customHeight="1" x14ac:dyDescent="0.25">
      <c r="A104" s="228" t="s">
        <v>312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30"/>
      <c r="AS104" s="236" t="s">
        <v>1</v>
      </c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 t="s">
        <v>1</v>
      </c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83"/>
      <c r="CD104" s="83"/>
      <c r="CE104" s="83"/>
      <c r="CF104" s="83"/>
      <c r="CG104" s="83"/>
      <c r="CH104" s="83"/>
      <c r="CI104" s="83"/>
    </row>
    <row r="105" spans="1:112" x14ac:dyDescent="0.25">
      <c r="A105" s="354">
        <v>1</v>
      </c>
      <c r="B105" s="354"/>
      <c r="C105" s="354"/>
      <c r="D105" s="354"/>
      <c r="E105" s="355" t="s">
        <v>313</v>
      </c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6">
        <v>1</v>
      </c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405">
        <f>41386.21+16811-23520.96+32000+5100+7506.47+6157.24+28741.55+15456-16900</f>
        <v>112737.51000000001</v>
      </c>
      <c r="BD105" s="405"/>
      <c r="BE105" s="405"/>
      <c r="BF105" s="405"/>
      <c r="BG105" s="405"/>
      <c r="BH105" s="405"/>
      <c r="BI105" s="405"/>
      <c r="BJ105" s="405"/>
      <c r="BK105" s="405"/>
      <c r="BL105" s="405"/>
      <c r="BM105" s="405"/>
      <c r="BN105" s="389">
        <f>AS105*BC105</f>
        <v>112737.51000000001</v>
      </c>
      <c r="BO105" s="390"/>
      <c r="BP105" s="390"/>
      <c r="BQ105" s="390"/>
      <c r="BR105" s="390"/>
      <c r="BS105" s="390"/>
      <c r="BT105" s="390"/>
      <c r="BU105" s="390"/>
      <c r="BV105" s="390"/>
      <c r="BW105" s="390"/>
      <c r="BX105" s="390"/>
      <c r="BY105" s="390"/>
      <c r="BZ105" s="390"/>
      <c r="CA105" s="390"/>
      <c r="CB105" s="391"/>
      <c r="CC105" s="83"/>
      <c r="CD105" s="133">
        <f t="shared" ref="CD105:CD110" si="7">LJ105-CI105</f>
        <v>59014.000000000015</v>
      </c>
      <c r="CE105" s="83"/>
      <c r="CF105" s="83"/>
      <c r="CG105" s="83"/>
      <c r="CH105" s="83"/>
      <c r="CI105" s="133">
        <f>32000+5100+6157.24+4500+3996+8000+8870.27+1000+1000-16900</f>
        <v>53723.509999999995</v>
      </c>
      <c r="DB105" s="71">
        <f>37060+1794+7190</f>
        <v>46044</v>
      </c>
      <c r="DG105" s="149">
        <f>CI105-DB105</f>
        <v>7679.5099999999948</v>
      </c>
      <c r="DH105" s="149">
        <f>CI105-37060</f>
        <v>16663.509999999995</v>
      </c>
    </row>
    <row r="106" spans="1:112" x14ac:dyDescent="0.25">
      <c r="A106" s="354">
        <v>2</v>
      </c>
      <c r="B106" s="354"/>
      <c r="C106" s="354"/>
      <c r="D106" s="354"/>
      <c r="E106" s="355" t="s">
        <v>314</v>
      </c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6">
        <v>1</v>
      </c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405">
        <f>15000-1794-1809.27</f>
        <v>11396.73</v>
      </c>
      <c r="BD106" s="405"/>
      <c r="BE106" s="405"/>
      <c r="BF106" s="405"/>
      <c r="BG106" s="405"/>
      <c r="BH106" s="405"/>
      <c r="BI106" s="405"/>
      <c r="BJ106" s="405"/>
      <c r="BK106" s="405"/>
      <c r="BL106" s="405"/>
      <c r="BM106" s="405"/>
      <c r="BN106" s="389">
        <f>AS106*BC106</f>
        <v>11396.73</v>
      </c>
      <c r="BO106" s="390"/>
      <c r="BP106" s="390"/>
      <c r="BQ106" s="390"/>
      <c r="BR106" s="390"/>
      <c r="BS106" s="390"/>
      <c r="BT106" s="390"/>
      <c r="BU106" s="390"/>
      <c r="BV106" s="390"/>
      <c r="BW106" s="390"/>
      <c r="BX106" s="390"/>
      <c r="BY106" s="390"/>
      <c r="BZ106" s="390"/>
      <c r="CA106" s="390"/>
      <c r="CB106" s="391"/>
      <c r="CC106" s="83"/>
      <c r="CD106" s="133">
        <f>BN106-CI106</f>
        <v>7061</v>
      </c>
      <c r="CE106" s="83"/>
      <c r="CF106" s="83"/>
      <c r="CG106" s="83"/>
      <c r="CH106" s="83"/>
      <c r="CI106" s="157">
        <f>15000-1794-8870.27</f>
        <v>4335.7299999999996</v>
      </c>
      <c r="DB106" s="71">
        <v>4335.7299999999996</v>
      </c>
      <c r="DG106" s="149">
        <f>CI106-DB106</f>
        <v>0</v>
      </c>
    </row>
    <row r="107" spans="1:112" x14ac:dyDescent="0.25">
      <c r="A107" s="354">
        <v>3</v>
      </c>
      <c r="B107" s="354"/>
      <c r="C107" s="354"/>
      <c r="D107" s="354"/>
      <c r="E107" s="355" t="s">
        <v>315</v>
      </c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6">
        <v>0</v>
      </c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405">
        <f>40000-10000</f>
        <v>30000</v>
      </c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5"/>
      <c r="BN107" s="389">
        <f t="shared" ref="BN107:BN114" si="8">KO107*KY107</f>
        <v>0</v>
      </c>
      <c r="BO107" s="390"/>
      <c r="BP107" s="390"/>
      <c r="BQ107" s="390"/>
      <c r="BR107" s="390"/>
      <c r="BS107" s="390"/>
      <c r="BT107" s="390"/>
      <c r="BU107" s="390"/>
      <c r="BV107" s="390"/>
      <c r="BW107" s="390"/>
      <c r="BX107" s="390"/>
      <c r="BY107" s="390"/>
      <c r="BZ107" s="390"/>
      <c r="CA107" s="390"/>
      <c r="CB107" s="391"/>
      <c r="CC107" s="83"/>
      <c r="CD107" s="133">
        <f t="shared" si="7"/>
        <v>0</v>
      </c>
      <c r="CE107" s="83"/>
      <c r="CF107" s="83"/>
      <c r="CG107" s="83"/>
      <c r="CH107" s="83"/>
      <c r="CI107" s="133">
        <v>0</v>
      </c>
    </row>
    <row r="108" spans="1:112" x14ac:dyDescent="0.25">
      <c r="A108" s="354">
        <v>4</v>
      </c>
      <c r="B108" s="354"/>
      <c r="C108" s="354"/>
      <c r="D108" s="354"/>
      <c r="E108" s="355" t="s">
        <v>316</v>
      </c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  <c r="AJ108" s="355"/>
      <c r="AK108" s="355"/>
      <c r="AL108" s="355"/>
      <c r="AM108" s="355"/>
      <c r="AN108" s="355"/>
      <c r="AO108" s="355"/>
      <c r="AP108" s="355"/>
      <c r="AQ108" s="355"/>
      <c r="AR108" s="355"/>
      <c r="AS108" s="356">
        <v>1</v>
      </c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405">
        <v>34258.449999999997</v>
      </c>
      <c r="BD108" s="405"/>
      <c r="BE108" s="405"/>
      <c r="BF108" s="405"/>
      <c r="BG108" s="405"/>
      <c r="BH108" s="405"/>
      <c r="BI108" s="405"/>
      <c r="BJ108" s="405"/>
      <c r="BK108" s="405"/>
      <c r="BL108" s="405"/>
      <c r="BM108" s="405"/>
      <c r="BN108" s="389">
        <f t="shared" si="8"/>
        <v>34258.449999999997</v>
      </c>
      <c r="BO108" s="390"/>
      <c r="BP108" s="390"/>
      <c r="BQ108" s="390"/>
      <c r="BR108" s="390"/>
      <c r="BS108" s="390"/>
      <c r="BT108" s="390"/>
      <c r="BU108" s="390"/>
      <c r="BV108" s="390"/>
      <c r="BW108" s="390"/>
      <c r="BX108" s="390"/>
      <c r="BY108" s="390"/>
      <c r="BZ108" s="390"/>
      <c r="CA108" s="390"/>
      <c r="CB108" s="391"/>
      <c r="CC108" s="83"/>
      <c r="CD108" s="133">
        <f t="shared" si="7"/>
        <v>30258.449999999997</v>
      </c>
      <c r="CE108" s="83"/>
      <c r="CF108" s="83"/>
      <c r="CG108" s="83"/>
      <c r="CH108" s="83"/>
      <c r="CI108" s="157">
        <f>5000-1000</f>
        <v>4000</v>
      </c>
      <c r="DB108" s="71">
        <f>4000</f>
        <v>4000</v>
      </c>
      <c r="DH108" s="149">
        <f>DH105-16900</f>
        <v>-236.49000000000524</v>
      </c>
    </row>
    <row r="109" spans="1:112" x14ac:dyDescent="0.25">
      <c r="A109" s="354">
        <v>5</v>
      </c>
      <c r="B109" s="354"/>
      <c r="C109" s="354"/>
      <c r="D109" s="354"/>
      <c r="E109" s="355" t="s">
        <v>317</v>
      </c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  <c r="AQ109" s="355"/>
      <c r="AR109" s="355"/>
      <c r="AS109" s="356">
        <v>1</v>
      </c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405">
        <v>25000</v>
      </c>
      <c r="BD109" s="405"/>
      <c r="BE109" s="405"/>
      <c r="BF109" s="405"/>
      <c r="BG109" s="405"/>
      <c r="BH109" s="405"/>
      <c r="BI109" s="405"/>
      <c r="BJ109" s="405"/>
      <c r="BK109" s="405"/>
      <c r="BL109" s="405"/>
      <c r="BM109" s="405"/>
      <c r="BN109" s="389">
        <f>AS109*BC109</f>
        <v>25000</v>
      </c>
      <c r="BO109" s="390"/>
      <c r="BP109" s="390"/>
      <c r="BQ109" s="390"/>
      <c r="BR109" s="390"/>
      <c r="BS109" s="390"/>
      <c r="BT109" s="390"/>
      <c r="BU109" s="390"/>
      <c r="BV109" s="390"/>
      <c r="BW109" s="390"/>
      <c r="BX109" s="390"/>
      <c r="BY109" s="390"/>
      <c r="BZ109" s="390"/>
      <c r="CA109" s="390"/>
      <c r="CB109" s="391"/>
      <c r="CC109" s="83"/>
      <c r="CD109" s="133">
        <f t="shared" si="7"/>
        <v>0</v>
      </c>
      <c r="CE109" s="83"/>
      <c r="CF109" s="83"/>
      <c r="CG109" s="83"/>
      <c r="CH109" s="83"/>
      <c r="CI109" s="157">
        <v>25000</v>
      </c>
      <c r="DB109" s="71">
        <v>25000</v>
      </c>
    </row>
    <row r="110" spans="1:112" x14ac:dyDescent="0.25">
      <c r="A110" s="354">
        <v>6</v>
      </c>
      <c r="B110" s="354"/>
      <c r="C110" s="354"/>
      <c r="D110" s="354"/>
      <c r="E110" s="355" t="s">
        <v>318</v>
      </c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6">
        <v>1</v>
      </c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405">
        <v>6350</v>
      </c>
      <c r="BD110" s="405"/>
      <c r="BE110" s="405"/>
      <c r="BF110" s="405"/>
      <c r="BG110" s="405"/>
      <c r="BH110" s="405"/>
      <c r="BI110" s="405"/>
      <c r="BJ110" s="405"/>
      <c r="BK110" s="405"/>
      <c r="BL110" s="405"/>
      <c r="BM110" s="405"/>
      <c r="BN110" s="389">
        <f>AS110*BC110</f>
        <v>6350</v>
      </c>
      <c r="BO110" s="390"/>
      <c r="BP110" s="390"/>
      <c r="BQ110" s="390"/>
      <c r="BR110" s="390"/>
      <c r="BS110" s="390"/>
      <c r="BT110" s="390"/>
      <c r="BU110" s="390"/>
      <c r="BV110" s="390"/>
      <c r="BW110" s="390"/>
      <c r="BX110" s="390"/>
      <c r="BY110" s="390"/>
      <c r="BZ110" s="390"/>
      <c r="CA110" s="390"/>
      <c r="CB110" s="391"/>
      <c r="CC110" s="83"/>
      <c r="CD110" s="133">
        <f t="shared" si="7"/>
        <v>6350</v>
      </c>
      <c r="CE110" s="83"/>
      <c r="CF110" s="83"/>
      <c r="CG110" s="83"/>
      <c r="CH110" s="83"/>
      <c r="CI110" s="133">
        <v>0</v>
      </c>
    </row>
    <row r="111" spans="1:112" ht="30.6" customHeight="1" x14ac:dyDescent="0.25">
      <c r="A111" s="354">
        <v>10</v>
      </c>
      <c r="B111" s="354"/>
      <c r="C111" s="354"/>
      <c r="D111" s="354"/>
      <c r="E111" s="355" t="s">
        <v>319</v>
      </c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55"/>
      <c r="AJ111" s="355"/>
      <c r="AK111" s="355"/>
      <c r="AL111" s="355"/>
      <c r="AM111" s="355"/>
      <c r="AN111" s="355"/>
      <c r="AO111" s="355"/>
      <c r="AP111" s="355"/>
      <c r="AQ111" s="355"/>
      <c r="AR111" s="355"/>
      <c r="AS111" s="356">
        <v>1</v>
      </c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405">
        <v>9842</v>
      </c>
      <c r="BD111" s="405"/>
      <c r="BE111" s="405"/>
      <c r="BF111" s="405"/>
      <c r="BG111" s="405"/>
      <c r="BH111" s="405"/>
      <c r="BI111" s="405"/>
      <c r="BJ111" s="405"/>
      <c r="BK111" s="405"/>
      <c r="BL111" s="405"/>
      <c r="BM111" s="405"/>
      <c r="BN111" s="389">
        <f>AS111*BC111</f>
        <v>9842</v>
      </c>
      <c r="BO111" s="390"/>
      <c r="BP111" s="390"/>
      <c r="BQ111" s="390"/>
      <c r="BR111" s="390"/>
      <c r="BS111" s="390"/>
      <c r="BT111" s="390"/>
      <c r="BU111" s="390"/>
      <c r="BV111" s="390"/>
      <c r="BW111" s="390"/>
      <c r="BX111" s="390"/>
      <c r="BY111" s="390"/>
      <c r="BZ111" s="390"/>
      <c r="CA111" s="390"/>
      <c r="CB111" s="391"/>
      <c r="CC111" s="83"/>
      <c r="CD111" s="157">
        <f>BN111</f>
        <v>9842</v>
      </c>
      <c r="CE111" s="161"/>
      <c r="CF111" s="133"/>
      <c r="CG111" s="133"/>
      <c r="CH111" s="133"/>
      <c r="CI111" s="83"/>
    </row>
    <row r="112" spans="1:112" ht="30.75" customHeight="1" x14ac:dyDescent="0.25">
      <c r="A112" s="354">
        <v>7</v>
      </c>
      <c r="B112" s="354"/>
      <c r="C112" s="354"/>
      <c r="D112" s="354"/>
      <c r="E112" s="355" t="s">
        <v>320</v>
      </c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  <c r="AJ112" s="355"/>
      <c r="AK112" s="355"/>
      <c r="AL112" s="355"/>
      <c r="AM112" s="355"/>
      <c r="AN112" s="355"/>
      <c r="AO112" s="355"/>
      <c r="AP112" s="355"/>
      <c r="AQ112" s="355"/>
      <c r="AR112" s="355"/>
      <c r="AS112" s="356">
        <v>0</v>
      </c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405">
        <v>0</v>
      </c>
      <c r="BD112" s="405"/>
      <c r="BE112" s="405"/>
      <c r="BF112" s="405"/>
      <c r="BG112" s="405"/>
      <c r="BH112" s="405"/>
      <c r="BI112" s="405"/>
      <c r="BJ112" s="405"/>
      <c r="BK112" s="405"/>
      <c r="BL112" s="405"/>
      <c r="BM112" s="405"/>
      <c r="BN112" s="389">
        <f t="shared" si="8"/>
        <v>0</v>
      </c>
      <c r="BO112" s="390"/>
      <c r="BP112" s="390"/>
      <c r="BQ112" s="390"/>
      <c r="BR112" s="390"/>
      <c r="BS112" s="390"/>
      <c r="BT112" s="390"/>
      <c r="BU112" s="390"/>
      <c r="BV112" s="390"/>
      <c r="BW112" s="390"/>
      <c r="BX112" s="390"/>
      <c r="BY112" s="390"/>
      <c r="BZ112" s="390"/>
      <c r="CA112" s="390"/>
      <c r="CB112" s="391"/>
      <c r="CC112" s="83"/>
      <c r="CD112" s="83"/>
      <c r="CE112" s="161" t="s">
        <v>321</v>
      </c>
      <c r="CF112" s="133"/>
      <c r="CG112" s="133"/>
      <c r="CH112" s="133">
        <v>0</v>
      </c>
      <c r="CI112" s="83"/>
    </row>
    <row r="113" spans="1:87" ht="30.6" customHeight="1" x14ac:dyDescent="0.25">
      <c r="A113" s="354">
        <v>8</v>
      </c>
      <c r="B113" s="354"/>
      <c r="C113" s="354"/>
      <c r="D113" s="354"/>
      <c r="E113" s="392" t="s">
        <v>322</v>
      </c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  <c r="AH113" s="393"/>
      <c r="AI113" s="393"/>
      <c r="AJ113" s="393"/>
      <c r="AK113" s="393"/>
      <c r="AL113" s="393"/>
      <c r="AM113" s="393"/>
      <c r="AN113" s="393"/>
      <c r="AO113" s="393"/>
      <c r="AP113" s="393"/>
      <c r="AQ113" s="393"/>
      <c r="AR113" s="394"/>
      <c r="AS113" s="228">
        <v>1</v>
      </c>
      <c r="AT113" s="229"/>
      <c r="AU113" s="229"/>
      <c r="AV113" s="229"/>
      <c r="AW113" s="229"/>
      <c r="AX113" s="229"/>
      <c r="AY113" s="229"/>
      <c r="AZ113" s="229"/>
      <c r="BA113" s="229"/>
      <c r="BB113" s="230"/>
      <c r="BC113" s="406">
        <v>4350</v>
      </c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8"/>
      <c r="BN113" s="389">
        <f t="shared" si="8"/>
        <v>4350</v>
      </c>
      <c r="BO113" s="390"/>
      <c r="BP113" s="390"/>
      <c r="BQ113" s="390"/>
      <c r="BR113" s="390"/>
      <c r="BS113" s="390"/>
      <c r="BT113" s="390"/>
      <c r="BU113" s="390"/>
      <c r="BV113" s="390"/>
      <c r="BW113" s="390"/>
      <c r="BX113" s="390"/>
      <c r="BY113" s="390"/>
      <c r="BZ113" s="390"/>
      <c r="CA113" s="390"/>
      <c r="CB113" s="391"/>
      <c r="CC113" s="83"/>
      <c r="CD113" s="83"/>
      <c r="CE113" s="161" t="s">
        <v>323</v>
      </c>
      <c r="CF113" s="131"/>
      <c r="CG113" s="162">
        <v>4350</v>
      </c>
      <c r="CH113" s="157"/>
      <c r="CI113" s="83"/>
    </row>
    <row r="114" spans="1:87" ht="30.6" customHeight="1" x14ac:dyDescent="0.25">
      <c r="A114" s="354">
        <v>9</v>
      </c>
      <c r="B114" s="354"/>
      <c r="C114" s="354"/>
      <c r="D114" s="354"/>
      <c r="E114" s="392" t="s">
        <v>322</v>
      </c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393"/>
      <c r="AO114" s="393"/>
      <c r="AP114" s="393"/>
      <c r="AQ114" s="393"/>
      <c r="AR114" s="394"/>
      <c r="AS114" s="228">
        <v>1</v>
      </c>
      <c r="AT114" s="229"/>
      <c r="AU114" s="229"/>
      <c r="AV114" s="229"/>
      <c r="AW114" s="229"/>
      <c r="AX114" s="229"/>
      <c r="AY114" s="229"/>
      <c r="AZ114" s="229"/>
      <c r="BA114" s="229"/>
      <c r="BB114" s="230"/>
      <c r="BC114" s="406">
        <v>650</v>
      </c>
      <c r="BD114" s="407"/>
      <c r="BE114" s="407"/>
      <c r="BF114" s="407"/>
      <c r="BG114" s="407"/>
      <c r="BH114" s="407"/>
      <c r="BI114" s="407"/>
      <c r="BJ114" s="407"/>
      <c r="BK114" s="407"/>
      <c r="BL114" s="407"/>
      <c r="BM114" s="408"/>
      <c r="BN114" s="389">
        <f t="shared" si="8"/>
        <v>650</v>
      </c>
      <c r="BO114" s="390"/>
      <c r="BP114" s="390"/>
      <c r="BQ114" s="390"/>
      <c r="BR114" s="390"/>
      <c r="BS114" s="390"/>
      <c r="BT114" s="390"/>
      <c r="BU114" s="390"/>
      <c r="BV114" s="390"/>
      <c r="BW114" s="390"/>
      <c r="BX114" s="390"/>
      <c r="BY114" s="390"/>
      <c r="BZ114" s="390"/>
      <c r="CA114" s="390"/>
      <c r="CB114" s="391"/>
      <c r="CC114" s="83"/>
      <c r="CD114" s="83"/>
      <c r="CE114" s="161" t="s">
        <v>324</v>
      </c>
      <c r="CF114" s="131"/>
      <c r="CG114" s="162"/>
      <c r="CH114" s="157">
        <v>650</v>
      </c>
      <c r="CI114" s="83"/>
    </row>
    <row r="115" spans="1:87" ht="21.75" customHeight="1" x14ac:dyDescent="0.25">
      <c r="A115" s="398" t="s">
        <v>325</v>
      </c>
      <c r="B115" s="396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6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  <c r="AG115" s="396"/>
      <c r="AH115" s="396"/>
      <c r="AI115" s="396"/>
      <c r="AJ115" s="396"/>
      <c r="AK115" s="396"/>
      <c r="AL115" s="396"/>
      <c r="AM115" s="396"/>
      <c r="AN115" s="396"/>
      <c r="AO115" s="396"/>
      <c r="AP115" s="396"/>
      <c r="AQ115" s="396"/>
      <c r="AR115" s="397"/>
      <c r="AS115" s="236" t="s">
        <v>1</v>
      </c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 t="s">
        <v>1</v>
      </c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395">
        <f>SUM(BN105:CB114)</f>
        <v>204584.69</v>
      </c>
      <c r="BO115" s="414"/>
      <c r="BP115" s="414"/>
      <c r="BQ115" s="414"/>
      <c r="BR115" s="414"/>
      <c r="BS115" s="414"/>
      <c r="BT115" s="414"/>
      <c r="BU115" s="414"/>
      <c r="BV115" s="414"/>
      <c r="BW115" s="414"/>
      <c r="BX115" s="414"/>
      <c r="BY115" s="414"/>
      <c r="BZ115" s="414"/>
      <c r="CA115" s="414"/>
      <c r="CB115" s="415"/>
      <c r="CC115" s="83"/>
      <c r="CD115" s="135">
        <f>SUM(CD105:CD114)</f>
        <v>112525.45000000001</v>
      </c>
      <c r="CE115" s="136" t="s">
        <v>326</v>
      </c>
      <c r="CF115" s="135">
        <f>SUM(CF105:CF114)</f>
        <v>0</v>
      </c>
      <c r="CG115" s="135">
        <f>SUM(CG105:CG114)</f>
        <v>4350</v>
      </c>
      <c r="CH115" s="135">
        <f>SUM(CH105:CH114)</f>
        <v>650</v>
      </c>
      <c r="CI115" s="135">
        <f>SUM(CI105:CI114)</f>
        <v>87059.239999999991</v>
      </c>
    </row>
    <row r="116" spans="1:87" ht="30.6" customHeight="1" x14ac:dyDescent="0.25">
      <c r="A116" s="409">
        <v>1</v>
      </c>
      <c r="B116" s="410"/>
      <c r="C116" s="410"/>
      <c r="D116" s="411"/>
      <c r="E116" s="392" t="s">
        <v>327</v>
      </c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93"/>
      <c r="AN116" s="393"/>
      <c r="AO116" s="393"/>
      <c r="AP116" s="393"/>
      <c r="AQ116" s="393"/>
      <c r="AR116" s="394"/>
      <c r="AS116" s="228">
        <v>1</v>
      </c>
      <c r="AT116" s="229"/>
      <c r="AU116" s="229"/>
      <c r="AV116" s="229"/>
      <c r="AW116" s="229"/>
      <c r="AX116" s="229"/>
      <c r="AY116" s="229"/>
      <c r="AZ116" s="229"/>
      <c r="BA116" s="229"/>
      <c r="BB116" s="230"/>
      <c r="BC116" s="406">
        <v>102650</v>
      </c>
      <c r="BD116" s="407"/>
      <c r="BE116" s="407"/>
      <c r="BF116" s="407"/>
      <c r="BG116" s="407"/>
      <c r="BH116" s="407"/>
      <c r="BI116" s="407"/>
      <c r="BJ116" s="407"/>
      <c r="BK116" s="407"/>
      <c r="BL116" s="407"/>
      <c r="BM116" s="408"/>
      <c r="BN116" s="389">
        <f>AS116*BC116</f>
        <v>102650</v>
      </c>
      <c r="BO116" s="390"/>
      <c r="BP116" s="390"/>
      <c r="BQ116" s="390"/>
      <c r="BR116" s="390"/>
      <c r="BS116" s="390"/>
      <c r="BT116" s="390"/>
      <c r="BU116" s="390"/>
      <c r="BV116" s="390"/>
      <c r="BW116" s="390"/>
      <c r="BX116" s="390"/>
      <c r="BY116" s="390"/>
      <c r="BZ116" s="390"/>
      <c r="CA116" s="390"/>
      <c r="CB116" s="391"/>
      <c r="CC116" s="83"/>
      <c r="CD116" s="83"/>
      <c r="CE116" s="161" t="s">
        <v>323</v>
      </c>
      <c r="CF116" s="131"/>
      <c r="CG116" s="162">
        <f>189660-8700-78300-10</f>
        <v>102650</v>
      </c>
      <c r="CH116" s="157"/>
      <c r="CI116" s="83"/>
    </row>
    <row r="117" spans="1:87" ht="30.6" customHeight="1" x14ac:dyDescent="0.25">
      <c r="A117" s="409">
        <v>2</v>
      </c>
      <c r="B117" s="410"/>
      <c r="C117" s="410"/>
      <c r="D117" s="411"/>
      <c r="E117" s="392" t="s">
        <v>327</v>
      </c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93"/>
      <c r="AL117" s="393"/>
      <c r="AM117" s="393"/>
      <c r="AN117" s="393"/>
      <c r="AO117" s="393"/>
      <c r="AP117" s="393"/>
      <c r="AQ117" s="393"/>
      <c r="AR117" s="394"/>
      <c r="AS117" s="228">
        <v>1</v>
      </c>
      <c r="AT117" s="229"/>
      <c r="AU117" s="229"/>
      <c r="AV117" s="229"/>
      <c r="AW117" s="229"/>
      <c r="AX117" s="229"/>
      <c r="AY117" s="229"/>
      <c r="AZ117" s="229"/>
      <c r="BA117" s="229"/>
      <c r="BB117" s="230"/>
      <c r="BC117" s="406">
        <v>15340</v>
      </c>
      <c r="BD117" s="407"/>
      <c r="BE117" s="407"/>
      <c r="BF117" s="407"/>
      <c r="BG117" s="407"/>
      <c r="BH117" s="407"/>
      <c r="BI117" s="407"/>
      <c r="BJ117" s="407"/>
      <c r="BK117" s="407"/>
      <c r="BL117" s="407"/>
      <c r="BM117" s="408"/>
      <c r="BN117" s="389">
        <f>AS117*BC117</f>
        <v>15340</v>
      </c>
      <c r="BO117" s="390"/>
      <c r="BP117" s="390"/>
      <c r="BQ117" s="390"/>
      <c r="BR117" s="390"/>
      <c r="BS117" s="390"/>
      <c r="BT117" s="390"/>
      <c r="BU117" s="390"/>
      <c r="BV117" s="390"/>
      <c r="BW117" s="390"/>
      <c r="BX117" s="390"/>
      <c r="BY117" s="390"/>
      <c r="BZ117" s="390"/>
      <c r="CA117" s="390"/>
      <c r="CB117" s="391"/>
      <c r="CC117" s="83"/>
      <c r="CD117" s="83"/>
      <c r="CE117" s="161" t="s">
        <v>324</v>
      </c>
      <c r="CF117" s="131"/>
      <c r="CG117" s="162"/>
      <c r="CH117" s="157">
        <f>28340-1300-11700</f>
        <v>15340</v>
      </c>
      <c r="CI117" s="83"/>
    </row>
    <row r="118" spans="1:87" ht="30.6" customHeight="1" x14ac:dyDescent="0.25">
      <c r="A118" s="409">
        <v>3</v>
      </c>
      <c r="B118" s="410"/>
      <c r="C118" s="410"/>
      <c r="D118" s="411"/>
      <c r="E118" s="355" t="s">
        <v>328</v>
      </c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6">
        <v>1</v>
      </c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405">
        <f t="shared" ref="BC118:BC129" si="9">CH118</f>
        <v>46500</v>
      </c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5"/>
      <c r="BN118" s="389">
        <f t="shared" ref="BN118:BN129" si="10">KO118*KY118</f>
        <v>46500</v>
      </c>
      <c r="BO118" s="390"/>
      <c r="BP118" s="390"/>
      <c r="BQ118" s="390"/>
      <c r="BR118" s="390"/>
      <c r="BS118" s="390"/>
      <c r="BT118" s="390"/>
      <c r="BU118" s="390"/>
      <c r="BV118" s="390"/>
      <c r="BW118" s="390"/>
      <c r="BX118" s="390"/>
      <c r="BY118" s="390"/>
      <c r="BZ118" s="390"/>
      <c r="CA118" s="390"/>
      <c r="CB118" s="391"/>
      <c r="CC118" s="83"/>
      <c r="CD118" s="83"/>
      <c r="CE118" s="161" t="s">
        <v>329</v>
      </c>
      <c r="CF118" s="83"/>
      <c r="CG118" s="83"/>
      <c r="CH118" s="133">
        <v>46500</v>
      </c>
      <c r="CI118" s="83"/>
    </row>
    <row r="119" spans="1:87" ht="30.6" customHeight="1" x14ac:dyDescent="0.25">
      <c r="A119" s="409">
        <v>4</v>
      </c>
      <c r="B119" s="410"/>
      <c r="C119" s="410"/>
      <c r="D119" s="411"/>
      <c r="E119" s="355" t="s">
        <v>330</v>
      </c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6">
        <v>1</v>
      </c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405">
        <f t="shared" si="9"/>
        <v>5750</v>
      </c>
      <c r="BD119" s="405"/>
      <c r="BE119" s="405"/>
      <c r="BF119" s="405"/>
      <c r="BG119" s="405"/>
      <c r="BH119" s="405"/>
      <c r="BI119" s="405"/>
      <c r="BJ119" s="405"/>
      <c r="BK119" s="405"/>
      <c r="BL119" s="405"/>
      <c r="BM119" s="405"/>
      <c r="BN119" s="389">
        <f t="shared" si="10"/>
        <v>5750</v>
      </c>
      <c r="BO119" s="390"/>
      <c r="BP119" s="390"/>
      <c r="BQ119" s="390"/>
      <c r="BR119" s="390"/>
      <c r="BS119" s="390"/>
      <c r="BT119" s="390"/>
      <c r="BU119" s="390"/>
      <c r="BV119" s="390"/>
      <c r="BW119" s="390"/>
      <c r="BX119" s="390"/>
      <c r="BY119" s="390"/>
      <c r="BZ119" s="390"/>
      <c r="CA119" s="390"/>
      <c r="CB119" s="391"/>
      <c r="CC119" s="83"/>
      <c r="CD119" s="83"/>
      <c r="CE119" s="161" t="s">
        <v>331</v>
      </c>
      <c r="CF119" s="83"/>
      <c r="CG119" s="83"/>
      <c r="CH119" s="133">
        <v>5750</v>
      </c>
      <c r="CI119" s="83"/>
    </row>
    <row r="120" spans="1:87" ht="30.6" customHeight="1" x14ac:dyDescent="0.25">
      <c r="A120" s="409">
        <v>5</v>
      </c>
      <c r="B120" s="410"/>
      <c r="C120" s="410"/>
      <c r="D120" s="411"/>
      <c r="E120" s="355" t="s">
        <v>332</v>
      </c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  <c r="AJ120" s="355"/>
      <c r="AK120" s="355"/>
      <c r="AL120" s="355"/>
      <c r="AM120" s="355"/>
      <c r="AN120" s="355"/>
      <c r="AO120" s="355"/>
      <c r="AP120" s="355"/>
      <c r="AQ120" s="355"/>
      <c r="AR120" s="355"/>
      <c r="AS120" s="356">
        <v>1</v>
      </c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405">
        <f t="shared" si="9"/>
        <v>5250</v>
      </c>
      <c r="BD120" s="405"/>
      <c r="BE120" s="405"/>
      <c r="BF120" s="405"/>
      <c r="BG120" s="405"/>
      <c r="BH120" s="405"/>
      <c r="BI120" s="405"/>
      <c r="BJ120" s="405"/>
      <c r="BK120" s="405"/>
      <c r="BL120" s="405"/>
      <c r="BM120" s="405"/>
      <c r="BN120" s="389">
        <f t="shared" si="10"/>
        <v>5250</v>
      </c>
      <c r="BO120" s="390"/>
      <c r="BP120" s="390"/>
      <c r="BQ120" s="390"/>
      <c r="BR120" s="390"/>
      <c r="BS120" s="390"/>
      <c r="BT120" s="390"/>
      <c r="BU120" s="390"/>
      <c r="BV120" s="390"/>
      <c r="BW120" s="390"/>
      <c r="BX120" s="390"/>
      <c r="BY120" s="390"/>
      <c r="BZ120" s="390"/>
      <c r="CA120" s="390"/>
      <c r="CB120" s="391"/>
      <c r="CC120" s="83"/>
      <c r="CD120" s="83"/>
      <c r="CE120" s="161" t="s">
        <v>333</v>
      </c>
      <c r="CF120" s="83"/>
      <c r="CG120" s="83"/>
      <c r="CH120" s="133">
        <v>5250</v>
      </c>
      <c r="CI120" s="83"/>
    </row>
    <row r="121" spans="1:87" ht="30.6" customHeight="1" x14ac:dyDescent="0.25">
      <c r="A121" s="409">
        <v>6</v>
      </c>
      <c r="B121" s="410"/>
      <c r="C121" s="410"/>
      <c r="D121" s="411"/>
      <c r="E121" s="355" t="s">
        <v>334</v>
      </c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5"/>
      <c r="AO121" s="355"/>
      <c r="AP121" s="355"/>
      <c r="AQ121" s="355"/>
      <c r="AR121" s="355"/>
      <c r="AS121" s="356">
        <v>1</v>
      </c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405">
        <f t="shared" si="9"/>
        <v>2100</v>
      </c>
      <c r="BD121" s="405"/>
      <c r="BE121" s="405"/>
      <c r="BF121" s="405"/>
      <c r="BG121" s="405"/>
      <c r="BH121" s="405"/>
      <c r="BI121" s="405"/>
      <c r="BJ121" s="405"/>
      <c r="BK121" s="405"/>
      <c r="BL121" s="405"/>
      <c r="BM121" s="405"/>
      <c r="BN121" s="389">
        <f t="shared" si="10"/>
        <v>2100</v>
      </c>
      <c r="BO121" s="390"/>
      <c r="BP121" s="390"/>
      <c r="BQ121" s="390"/>
      <c r="BR121" s="390"/>
      <c r="BS121" s="390"/>
      <c r="BT121" s="390"/>
      <c r="BU121" s="390"/>
      <c r="BV121" s="390"/>
      <c r="BW121" s="390"/>
      <c r="BX121" s="390"/>
      <c r="BY121" s="390"/>
      <c r="BZ121" s="390"/>
      <c r="CA121" s="390"/>
      <c r="CB121" s="391"/>
      <c r="CC121" s="83"/>
      <c r="CD121" s="83"/>
      <c r="CE121" s="161" t="s">
        <v>335</v>
      </c>
      <c r="CF121" s="83"/>
      <c r="CG121" s="83"/>
      <c r="CH121" s="133">
        <v>2100</v>
      </c>
      <c r="CI121" s="83"/>
    </row>
    <row r="122" spans="1:87" ht="30.6" customHeight="1" x14ac:dyDescent="0.25">
      <c r="A122" s="409">
        <v>7</v>
      </c>
      <c r="B122" s="410"/>
      <c r="C122" s="410"/>
      <c r="D122" s="411"/>
      <c r="E122" s="355" t="s">
        <v>336</v>
      </c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  <c r="AR122" s="355"/>
      <c r="AS122" s="356">
        <v>1</v>
      </c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405">
        <f t="shared" si="9"/>
        <v>5700</v>
      </c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5"/>
      <c r="BN122" s="389">
        <f t="shared" si="10"/>
        <v>5700</v>
      </c>
      <c r="BO122" s="390"/>
      <c r="BP122" s="390"/>
      <c r="BQ122" s="390"/>
      <c r="BR122" s="390"/>
      <c r="BS122" s="390"/>
      <c r="BT122" s="390"/>
      <c r="BU122" s="390"/>
      <c r="BV122" s="390"/>
      <c r="BW122" s="390"/>
      <c r="BX122" s="390"/>
      <c r="BY122" s="390"/>
      <c r="BZ122" s="390"/>
      <c r="CA122" s="390"/>
      <c r="CB122" s="391"/>
      <c r="CC122" s="83"/>
      <c r="CD122" s="83"/>
      <c r="CE122" s="161" t="s">
        <v>337</v>
      </c>
      <c r="CF122" s="83"/>
      <c r="CG122" s="83"/>
      <c r="CH122" s="133">
        <v>5700</v>
      </c>
      <c r="CI122" s="83"/>
    </row>
    <row r="123" spans="1:87" ht="30.6" customHeight="1" x14ac:dyDescent="0.25">
      <c r="A123" s="409">
        <v>8</v>
      </c>
      <c r="B123" s="410"/>
      <c r="C123" s="410"/>
      <c r="D123" s="411"/>
      <c r="E123" s="355" t="s">
        <v>338</v>
      </c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6">
        <v>1</v>
      </c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405">
        <f t="shared" si="9"/>
        <v>40000</v>
      </c>
      <c r="BD123" s="405"/>
      <c r="BE123" s="405"/>
      <c r="BF123" s="405"/>
      <c r="BG123" s="405"/>
      <c r="BH123" s="405"/>
      <c r="BI123" s="405"/>
      <c r="BJ123" s="405"/>
      <c r="BK123" s="405"/>
      <c r="BL123" s="405"/>
      <c r="BM123" s="405"/>
      <c r="BN123" s="389">
        <f t="shared" si="10"/>
        <v>40000</v>
      </c>
      <c r="BO123" s="390"/>
      <c r="BP123" s="390"/>
      <c r="BQ123" s="390"/>
      <c r="BR123" s="390"/>
      <c r="BS123" s="390"/>
      <c r="BT123" s="390"/>
      <c r="BU123" s="390"/>
      <c r="BV123" s="390"/>
      <c r="BW123" s="390"/>
      <c r="BX123" s="390"/>
      <c r="BY123" s="390"/>
      <c r="BZ123" s="390"/>
      <c r="CA123" s="390"/>
      <c r="CB123" s="391"/>
      <c r="CC123" s="83"/>
      <c r="CD123" s="83"/>
      <c r="CE123" s="161" t="s">
        <v>339</v>
      </c>
      <c r="CF123" s="83"/>
      <c r="CG123" s="83"/>
      <c r="CH123" s="157">
        <v>40000</v>
      </c>
      <c r="CI123" s="83"/>
    </row>
    <row r="124" spans="1:87" ht="30.6" customHeight="1" x14ac:dyDescent="0.25">
      <c r="A124" s="409">
        <v>9</v>
      </c>
      <c r="B124" s="410"/>
      <c r="C124" s="410"/>
      <c r="D124" s="411"/>
      <c r="E124" s="355" t="s">
        <v>340</v>
      </c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  <c r="AJ124" s="355"/>
      <c r="AK124" s="355"/>
      <c r="AL124" s="355"/>
      <c r="AM124" s="355"/>
      <c r="AN124" s="355"/>
      <c r="AO124" s="355"/>
      <c r="AP124" s="355"/>
      <c r="AQ124" s="355"/>
      <c r="AR124" s="355"/>
      <c r="AS124" s="356">
        <v>1</v>
      </c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405">
        <f t="shared" si="9"/>
        <v>4650</v>
      </c>
      <c r="BD124" s="405"/>
      <c r="BE124" s="405"/>
      <c r="BF124" s="405"/>
      <c r="BG124" s="405"/>
      <c r="BH124" s="405"/>
      <c r="BI124" s="405"/>
      <c r="BJ124" s="405"/>
      <c r="BK124" s="405"/>
      <c r="BL124" s="405"/>
      <c r="BM124" s="405"/>
      <c r="BN124" s="389">
        <f t="shared" si="10"/>
        <v>4650</v>
      </c>
      <c r="BO124" s="390"/>
      <c r="BP124" s="390"/>
      <c r="BQ124" s="390"/>
      <c r="BR124" s="390"/>
      <c r="BS124" s="390"/>
      <c r="BT124" s="390"/>
      <c r="BU124" s="390"/>
      <c r="BV124" s="390"/>
      <c r="BW124" s="390"/>
      <c r="BX124" s="390"/>
      <c r="BY124" s="390"/>
      <c r="BZ124" s="390"/>
      <c r="CA124" s="390"/>
      <c r="CB124" s="391"/>
      <c r="CC124" s="83"/>
      <c r="CD124" s="83"/>
      <c r="CE124" s="161" t="s">
        <v>341</v>
      </c>
      <c r="CF124" s="83"/>
      <c r="CG124" s="83"/>
      <c r="CH124" s="157">
        <v>4650</v>
      </c>
      <c r="CI124" s="83"/>
    </row>
    <row r="125" spans="1:87" ht="30.6" customHeight="1" x14ac:dyDescent="0.25">
      <c r="A125" s="409">
        <v>10</v>
      </c>
      <c r="B125" s="410"/>
      <c r="C125" s="410"/>
      <c r="D125" s="411"/>
      <c r="E125" s="355" t="s">
        <v>342</v>
      </c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  <c r="AJ125" s="355"/>
      <c r="AK125" s="355"/>
      <c r="AL125" s="355"/>
      <c r="AM125" s="355"/>
      <c r="AN125" s="355"/>
      <c r="AO125" s="355"/>
      <c r="AP125" s="355"/>
      <c r="AQ125" s="355"/>
      <c r="AR125" s="355"/>
      <c r="AS125" s="356">
        <v>1</v>
      </c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405">
        <f t="shared" si="9"/>
        <v>10040</v>
      </c>
      <c r="BD125" s="405"/>
      <c r="BE125" s="405"/>
      <c r="BF125" s="405"/>
      <c r="BG125" s="405"/>
      <c r="BH125" s="405"/>
      <c r="BI125" s="405"/>
      <c r="BJ125" s="405"/>
      <c r="BK125" s="405"/>
      <c r="BL125" s="405"/>
      <c r="BM125" s="405"/>
      <c r="BN125" s="389">
        <f t="shared" si="10"/>
        <v>10040</v>
      </c>
      <c r="BO125" s="390"/>
      <c r="BP125" s="390"/>
      <c r="BQ125" s="390"/>
      <c r="BR125" s="390"/>
      <c r="BS125" s="390"/>
      <c r="BT125" s="390"/>
      <c r="BU125" s="390"/>
      <c r="BV125" s="390"/>
      <c r="BW125" s="390"/>
      <c r="BX125" s="390"/>
      <c r="BY125" s="390"/>
      <c r="BZ125" s="390"/>
      <c r="CA125" s="390"/>
      <c r="CB125" s="391"/>
      <c r="CC125" s="83"/>
      <c r="CD125" s="83"/>
      <c r="CE125" s="161" t="s">
        <v>343</v>
      </c>
      <c r="CF125" s="83"/>
      <c r="CG125" s="83"/>
      <c r="CH125" s="157">
        <v>10040</v>
      </c>
      <c r="CI125" s="83"/>
    </row>
    <row r="126" spans="1:87" ht="30.6" customHeight="1" x14ac:dyDescent="0.25">
      <c r="A126" s="409">
        <v>11</v>
      </c>
      <c r="B126" s="410"/>
      <c r="C126" s="410"/>
      <c r="D126" s="411"/>
      <c r="E126" s="355" t="s">
        <v>344</v>
      </c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5"/>
      <c r="AL126" s="355"/>
      <c r="AM126" s="355"/>
      <c r="AN126" s="355"/>
      <c r="AO126" s="355"/>
      <c r="AP126" s="355"/>
      <c r="AQ126" s="355"/>
      <c r="AR126" s="355"/>
      <c r="AS126" s="356">
        <v>1</v>
      </c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405">
        <f t="shared" si="9"/>
        <v>1080</v>
      </c>
      <c r="BD126" s="405"/>
      <c r="BE126" s="405"/>
      <c r="BF126" s="405"/>
      <c r="BG126" s="405"/>
      <c r="BH126" s="405"/>
      <c r="BI126" s="405"/>
      <c r="BJ126" s="405"/>
      <c r="BK126" s="405"/>
      <c r="BL126" s="405"/>
      <c r="BM126" s="405"/>
      <c r="BN126" s="389">
        <f t="shared" si="10"/>
        <v>1080</v>
      </c>
      <c r="BO126" s="390"/>
      <c r="BP126" s="390"/>
      <c r="BQ126" s="390"/>
      <c r="BR126" s="390"/>
      <c r="BS126" s="390"/>
      <c r="BT126" s="390"/>
      <c r="BU126" s="390"/>
      <c r="BV126" s="390"/>
      <c r="BW126" s="390"/>
      <c r="BX126" s="390"/>
      <c r="BY126" s="390"/>
      <c r="BZ126" s="390"/>
      <c r="CA126" s="390"/>
      <c r="CB126" s="391"/>
      <c r="CC126" s="83"/>
      <c r="CD126" s="83"/>
      <c r="CE126" s="161" t="s">
        <v>345</v>
      </c>
      <c r="CF126" s="83"/>
      <c r="CG126" s="83"/>
      <c r="CH126" s="133">
        <v>1080</v>
      </c>
      <c r="CI126" s="83"/>
    </row>
    <row r="127" spans="1:87" ht="30.6" customHeight="1" x14ac:dyDescent="0.25">
      <c r="A127" s="409">
        <v>12</v>
      </c>
      <c r="B127" s="410"/>
      <c r="C127" s="410"/>
      <c r="D127" s="411"/>
      <c r="E127" s="355" t="s">
        <v>346</v>
      </c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5"/>
      <c r="AQ127" s="355"/>
      <c r="AR127" s="355"/>
      <c r="AS127" s="356">
        <v>1</v>
      </c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405">
        <f t="shared" si="9"/>
        <v>3150</v>
      </c>
      <c r="BD127" s="405"/>
      <c r="BE127" s="405"/>
      <c r="BF127" s="405"/>
      <c r="BG127" s="405"/>
      <c r="BH127" s="405"/>
      <c r="BI127" s="405"/>
      <c r="BJ127" s="405"/>
      <c r="BK127" s="405"/>
      <c r="BL127" s="405"/>
      <c r="BM127" s="405"/>
      <c r="BN127" s="389">
        <f t="shared" si="10"/>
        <v>3150</v>
      </c>
      <c r="BO127" s="390"/>
      <c r="BP127" s="390"/>
      <c r="BQ127" s="390"/>
      <c r="BR127" s="390"/>
      <c r="BS127" s="390"/>
      <c r="BT127" s="390"/>
      <c r="BU127" s="390"/>
      <c r="BV127" s="390"/>
      <c r="BW127" s="390"/>
      <c r="BX127" s="390"/>
      <c r="BY127" s="390"/>
      <c r="BZ127" s="390"/>
      <c r="CA127" s="390"/>
      <c r="CB127" s="391"/>
      <c r="CC127" s="83"/>
      <c r="CD127" s="83"/>
      <c r="CE127" s="161" t="s">
        <v>347</v>
      </c>
      <c r="CF127" s="83"/>
      <c r="CG127" s="83"/>
      <c r="CH127" s="133">
        <v>3150</v>
      </c>
      <c r="CI127" s="83"/>
    </row>
    <row r="128" spans="1:87" ht="30.6" customHeight="1" x14ac:dyDescent="0.25">
      <c r="A128" s="409">
        <v>13</v>
      </c>
      <c r="B128" s="410"/>
      <c r="C128" s="410"/>
      <c r="D128" s="411"/>
      <c r="E128" s="355" t="s">
        <v>348</v>
      </c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5"/>
      <c r="AL128" s="355"/>
      <c r="AM128" s="355"/>
      <c r="AN128" s="355"/>
      <c r="AO128" s="355"/>
      <c r="AP128" s="355"/>
      <c r="AQ128" s="355"/>
      <c r="AR128" s="355"/>
      <c r="AS128" s="356">
        <v>1</v>
      </c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405">
        <f t="shared" si="9"/>
        <v>5040</v>
      </c>
      <c r="BD128" s="405"/>
      <c r="BE128" s="405"/>
      <c r="BF128" s="405"/>
      <c r="BG128" s="405"/>
      <c r="BH128" s="405"/>
      <c r="BI128" s="405"/>
      <c r="BJ128" s="405"/>
      <c r="BK128" s="405"/>
      <c r="BL128" s="405"/>
      <c r="BM128" s="405"/>
      <c r="BN128" s="389">
        <f t="shared" si="10"/>
        <v>5040</v>
      </c>
      <c r="BO128" s="390"/>
      <c r="BP128" s="390"/>
      <c r="BQ128" s="390"/>
      <c r="BR128" s="390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1"/>
      <c r="CC128" s="83"/>
      <c r="CD128" s="83"/>
      <c r="CE128" s="161" t="s">
        <v>349</v>
      </c>
      <c r="CF128" s="83"/>
      <c r="CG128" s="83"/>
      <c r="CH128" s="157">
        <v>5040</v>
      </c>
      <c r="CI128" s="83"/>
    </row>
    <row r="129" spans="1:111" ht="30" customHeight="1" x14ac:dyDescent="0.25">
      <c r="A129" s="409">
        <v>14</v>
      </c>
      <c r="B129" s="410"/>
      <c r="C129" s="410"/>
      <c r="D129" s="411"/>
      <c r="E129" s="355" t="s">
        <v>350</v>
      </c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5"/>
      <c r="AO129" s="355"/>
      <c r="AP129" s="355"/>
      <c r="AQ129" s="355"/>
      <c r="AR129" s="355"/>
      <c r="AS129" s="356">
        <v>1</v>
      </c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405">
        <f t="shared" si="9"/>
        <v>3400</v>
      </c>
      <c r="BD129" s="405"/>
      <c r="BE129" s="405"/>
      <c r="BF129" s="405"/>
      <c r="BG129" s="405"/>
      <c r="BH129" s="405"/>
      <c r="BI129" s="405"/>
      <c r="BJ129" s="405"/>
      <c r="BK129" s="405"/>
      <c r="BL129" s="405"/>
      <c r="BM129" s="405"/>
      <c r="BN129" s="389">
        <f t="shared" si="10"/>
        <v>3400</v>
      </c>
      <c r="BO129" s="390"/>
      <c r="BP129" s="390"/>
      <c r="BQ129" s="390"/>
      <c r="BR129" s="390"/>
      <c r="BS129" s="390"/>
      <c r="BT129" s="390"/>
      <c r="BU129" s="390"/>
      <c r="BV129" s="390"/>
      <c r="BW129" s="390"/>
      <c r="BX129" s="390"/>
      <c r="BY129" s="390"/>
      <c r="BZ129" s="390"/>
      <c r="CA129" s="390"/>
      <c r="CB129" s="391"/>
      <c r="CC129" s="83"/>
      <c r="CD129" s="83"/>
      <c r="CE129" s="161" t="s">
        <v>351</v>
      </c>
      <c r="CF129" s="83"/>
      <c r="CG129" s="83"/>
      <c r="CH129" s="157">
        <v>3400</v>
      </c>
      <c r="CI129" s="83"/>
    </row>
    <row r="130" spans="1:111" ht="30.6" customHeight="1" x14ac:dyDescent="0.25">
      <c r="A130" s="409">
        <v>15</v>
      </c>
      <c r="B130" s="410"/>
      <c r="C130" s="410"/>
      <c r="D130" s="411"/>
      <c r="E130" s="355" t="s">
        <v>352</v>
      </c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6">
        <v>2</v>
      </c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405">
        <v>7500</v>
      </c>
      <c r="BD130" s="405"/>
      <c r="BE130" s="405"/>
      <c r="BF130" s="405"/>
      <c r="BG130" s="405"/>
      <c r="BH130" s="405"/>
      <c r="BI130" s="405"/>
      <c r="BJ130" s="405"/>
      <c r="BK130" s="405"/>
      <c r="BL130" s="405"/>
      <c r="BM130" s="405"/>
      <c r="BN130" s="389">
        <f>AS130*BC130</f>
        <v>15000</v>
      </c>
      <c r="BO130" s="390"/>
      <c r="BP130" s="390"/>
      <c r="BQ130" s="390"/>
      <c r="BR130" s="390"/>
      <c r="BS130" s="390"/>
      <c r="BT130" s="390"/>
      <c r="BU130" s="390"/>
      <c r="BV130" s="390"/>
      <c r="BW130" s="390"/>
      <c r="BX130" s="390"/>
      <c r="BY130" s="390"/>
      <c r="BZ130" s="390"/>
      <c r="CA130" s="390"/>
      <c r="CB130" s="391"/>
      <c r="CC130" s="83"/>
      <c r="CD130" s="133">
        <f>BN130-CI130</f>
        <v>7000</v>
      </c>
      <c r="CE130" s="161"/>
      <c r="CF130" s="133"/>
      <c r="CG130" s="133"/>
      <c r="CH130" s="133"/>
      <c r="CI130" s="157">
        <v>8000</v>
      </c>
      <c r="DB130" s="71">
        <v>8000</v>
      </c>
    </row>
    <row r="131" spans="1:111" ht="12.6" customHeight="1" x14ac:dyDescent="0.25">
      <c r="A131" s="398" t="s">
        <v>353</v>
      </c>
      <c r="B131" s="396"/>
      <c r="C131" s="396"/>
      <c r="D131" s="396"/>
      <c r="E131" s="396"/>
      <c r="F131" s="396"/>
      <c r="G131" s="396"/>
      <c r="H131" s="396"/>
      <c r="I131" s="396"/>
      <c r="J131" s="396"/>
      <c r="K131" s="396"/>
      <c r="L131" s="396"/>
      <c r="M131" s="396"/>
      <c r="N131" s="396"/>
      <c r="O131" s="396"/>
      <c r="P131" s="396"/>
      <c r="Q131" s="396"/>
      <c r="R131" s="396"/>
      <c r="S131" s="396"/>
      <c r="T131" s="396"/>
      <c r="U131" s="396"/>
      <c r="V131" s="396"/>
      <c r="W131" s="396"/>
      <c r="X131" s="396"/>
      <c r="Y131" s="396"/>
      <c r="Z131" s="396"/>
      <c r="AA131" s="396"/>
      <c r="AB131" s="396"/>
      <c r="AC131" s="396"/>
      <c r="AD131" s="396"/>
      <c r="AE131" s="396"/>
      <c r="AF131" s="396"/>
      <c r="AG131" s="396"/>
      <c r="AH131" s="396"/>
      <c r="AI131" s="396"/>
      <c r="AJ131" s="396"/>
      <c r="AK131" s="396"/>
      <c r="AL131" s="396"/>
      <c r="AM131" s="396"/>
      <c r="AN131" s="396"/>
      <c r="AO131" s="396"/>
      <c r="AP131" s="396"/>
      <c r="AQ131" s="396"/>
      <c r="AR131" s="397"/>
      <c r="AS131" s="236" t="s">
        <v>1</v>
      </c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 t="s">
        <v>1</v>
      </c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383">
        <f>SUM(BN116:CB130)</f>
        <v>265650</v>
      </c>
      <c r="BO131" s="244"/>
      <c r="BP131" s="244"/>
      <c r="BQ131" s="244"/>
      <c r="BR131" s="244"/>
      <c r="BS131" s="244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83"/>
      <c r="CD131" s="135">
        <f>SUM(CD116:CD130)</f>
        <v>7000</v>
      </c>
      <c r="CE131" s="136" t="s">
        <v>1</v>
      </c>
      <c r="CF131" s="135">
        <f>SUM(CF116:CF130)</f>
        <v>0</v>
      </c>
      <c r="CG131" s="135">
        <f>SUM(CG116:CG130)</f>
        <v>102650</v>
      </c>
      <c r="CH131" s="135">
        <f>SUM(CH116:CH130)</f>
        <v>148000</v>
      </c>
      <c r="CI131" s="135">
        <f>SUM(CI116:CI130)</f>
        <v>8000</v>
      </c>
    </row>
    <row r="133" spans="1:111" ht="39" customHeight="1" x14ac:dyDescent="0.3">
      <c r="DB133" s="65"/>
      <c r="DG133" s="163">
        <f>'Лист1 (3)'!K66+'Лист1 (3)'!I74+Лист2!CA94+Лист2!CA9+Лист6!CD46+Лист6!CD24+Лист6!CD14+Лист7!CD115+Лист7!CD57+Лист7!CD28+CD86+CD131</f>
        <v>59610860.460373349</v>
      </c>
    </row>
    <row r="135" spans="1:111" ht="54" customHeight="1" x14ac:dyDescent="0.3">
      <c r="DB135" s="65"/>
      <c r="DG135" s="65">
        <f>1442971.52+38268207.48+22287892</f>
        <v>61999071</v>
      </c>
    </row>
    <row r="138" spans="1:111" ht="51.75" customHeight="1" x14ac:dyDescent="0.3">
      <c r="DB138" s="65"/>
      <c r="DG138" s="164">
        <f>DG133-DG135</f>
        <v>-2388210.5396266505</v>
      </c>
    </row>
    <row r="143" spans="1:111" x14ac:dyDescent="0.25">
      <c r="DG143" s="71">
        <f>138159-133071</f>
        <v>5088</v>
      </c>
    </row>
    <row r="145" spans="111:111" x14ac:dyDescent="0.25">
      <c r="DG145" s="71">
        <f>133588-133071</f>
        <v>517</v>
      </c>
    </row>
    <row r="147" spans="111:111" x14ac:dyDescent="0.25">
      <c r="DG147" s="71">
        <f>DG143-DG145</f>
        <v>4571</v>
      </c>
    </row>
  </sheetData>
  <mergeCells count="549">
    <mergeCell ref="BN85:CB85"/>
    <mergeCell ref="AN26:BC26"/>
    <mergeCell ref="BD26:BM26"/>
    <mergeCell ref="BN26:CB26"/>
    <mergeCell ref="BN23:CB23"/>
    <mergeCell ref="BN24:CB24"/>
    <mergeCell ref="E25:AM25"/>
    <mergeCell ref="AN25:BC25"/>
    <mergeCell ref="BD25:BM25"/>
    <mergeCell ref="A78:D78"/>
    <mergeCell ref="E78:AR78"/>
    <mergeCell ref="AS78:BB78"/>
    <mergeCell ref="BN78:CB78"/>
    <mergeCell ref="BN77:CB77"/>
    <mergeCell ref="AS79:BB79"/>
    <mergeCell ref="BC79:BM79"/>
    <mergeCell ref="A79:D79"/>
    <mergeCell ref="A52:D52"/>
    <mergeCell ref="E52:AN52"/>
    <mergeCell ref="AO52:BC52"/>
    <mergeCell ref="BD52:BM52"/>
    <mergeCell ref="BN52:CB52"/>
    <mergeCell ref="A99:D99"/>
    <mergeCell ref="AS86:BB86"/>
    <mergeCell ref="A94:D94"/>
    <mergeCell ref="E94:AR94"/>
    <mergeCell ref="AS95:BB95"/>
    <mergeCell ref="A84:D84"/>
    <mergeCell ref="E84:AR84"/>
    <mergeCell ref="AS84:BB84"/>
    <mergeCell ref="E90:AR93"/>
    <mergeCell ref="AS99:BB99"/>
    <mergeCell ref="A85:D85"/>
    <mergeCell ref="E85:AR85"/>
    <mergeCell ref="AS85:BB85"/>
    <mergeCell ref="A23:D23"/>
    <mergeCell ref="E23:AM23"/>
    <mergeCell ref="AN23:BC23"/>
    <mergeCell ref="BD23:BM23"/>
    <mergeCell ref="A26:D26"/>
    <mergeCell ref="BN82:CB82"/>
    <mergeCell ref="A83:D83"/>
    <mergeCell ref="CF5:CF6"/>
    <mergeCell ref="CF34:CF35"/>
    <mergeCell ref="CF63:CF64"/>
    <mergeCell ref="CF72:CF73"/>
    <mergeCell ref="A22:D22"/>
    <mergeCell ref="AS83:BB83"/>
    <mergeCell ref="BC83:BM83"/>
    <mergeCell ref="BN83:CB83"/>
    <mergeCell ref="A61:D64"/>
    <mergeCell ref="E61:AN64"/>
    <mergeCell ref="E70:AR73"/>
    <mergeCell ref="A65:D65"/>
    <mergeCell ref="BC78:BM78"/>
    <mergeCell ref="BN70:CB73"/>
    <mergeCell ref="AO65:BC65"/>
    <mergeCell ref="A77:D77"/>
    <mergeCell ref="E77:AR77"/>
    <mergeCell ref="E55:AN55"/>
    <mergeCell ref="E76:AR76"/>
    <mergeCell ref="AS76:BB76"/>
    <mergeCell ref="BC76:BM76"/>
    <mergeCell ref="E65:AN65"/>
    <mergeCell ref="BD65:BM65"/>
    <mergeCell ref="AO54:BC54"/>
    <mergeCell ref="E26:AM26"/>
    <mergeCell ref="A38:D38"/>
    <mergeCell ref="E38:AN38"/>
    <mergeCell ref="AO38:BC38"/>
    <mergeCell ref="BD38:BM38"/>
    <mergeCell ref="A70:D73"/>
    <mergeCell ref="BC75:BM75"/>
    <mergeCell ref="E51:AN51"/>
    <mergeCell ref="AO51:BC51"/>
    <mergeCell ref="BD51:BM51"/>
    <mergeCell ref="AS81:BB81"/>
    <mergeCell ref="AS82:BB82"/>
    <mergeCell ref="E83:AR83"/>
    <mergeCell ref="AS75:BB75"/>
    <mergeCell ref="E107:AR107"/>
    <mergeCell ref="BN128:CB128"/>
    <mergeCell ref="AS90:BB93"/>
    <mergeCell ref="BC90:BM93"/>
    <mergeCell ref="BN90:CB93"/>
    <mergeCell ref="BC122:BM122"/>
    <mergeCell ref="BN126:CB126"/>
    <mergeCell ref="BC125:BM125"/>
    <mergeCell ref="BN125:CB125"/>
    <mergeCell ref="BN118:CB118"/>
    <mergeCell ref="E106:AR106"/>
    <mergeCell ref="AS106:BB106"/>
    <mergeCell ref="BC106:BM106"/>
    <mergeCell ref="BC84:BM84"/>
    <mergeCell ref="AS77:BB77"/>
    <mergeCell ref="BC77:BM77"/>
    <mergeCell ref="BN75:CB75"/>
    <mergeCell ref="BN79:CB79"/>
    <mergeCell ref="BN84:CB84"/>
    <mergeCell ref="BC85:BM85"/>
    <mergeCell ref="BC118:BM118"/>
    <mergeCell ref="AS107:BB107"/>
    <mergeCell ref="BD40:BM40"/>
    <mergeCell ref="BD41:BM41"/>
    <mergeCell ref="BD45:BM45"/>
    <mergeCell ref="A51:D51"/>
    <mergeCell ref="A45:D45"/>
    <mergeCell ref="A21:D21"/>
    <mergeCell ref="E21:AM21"/>
    <mergeCell ref="AN21:BC21"/>
    <mergeCell ref="BD42:BM42"/>
    <mergeCell ref="BD43:BM43"/>
    <mergeCell ref="BD44:BM44"/>
    <mergeCell ref="E40:AN40"/>
    <mergeCell ref="BC81:BM81"/>
    <mergeCell ref="A76:D76"/>
    <mergeCell ref="A75:D75"/>
    <mergeCell ref="E75:AR75"/>
    <mergeCell ref="A47:D47"/>
    <mergeCell ref="E47:AN47"/>
    <mergeCell ref="AO47:BC47"/>
    <mergeCell ref="BD57:BM57"/>
    <mergeCell ref="A81:D81"/>
    <mergeCell ref="E81:AR81"/>
    <mergeCell ref="A129:D129"/>
    <mergeCell ref="E129:AR129"/>
    <mergeCell ref="AS129:BB129"/>
    <mergeCell ref="BC129:BM129"/>
    <mergeCell ref="BN129:CB129"/>
    <mergeCell ref="A126:D126"/>
    <mergeCell ref="A128:D128"/>
    <mergeCell ref="E128:AR128"/>
    <mergeCell ref="AS128:BB128"/>
    <mergeCell ref="BC128:BM128"/>
    <mergeCell ref="AS126:BB126"/>
    <mergeCell ref="BC126:BM126"/>
    <mergeCell ref="BC121:BM121"/>
    <mergeCell ref="BN121:CB121"/>
    <mergeCell ref="A120:D120"/>
    <mergeCell ref="E120:AR120"/>
    <mergeCell ref="AS120:BB120"/>
    <mergeCell ref="BC120:BM120"/>
    <mergeCell ref="A122:D122"/>
    <mergeCell ref="E122:AR122"/>
    <mergeCell ref="BC127:BM127"/>
    <mergeCell ref="BN127:CB127"/>
    <mergeCell ref="A124:D124"/>
    <mergeCell ref="E124:AR124"/>
    <mergeCell ref="BN124:CB124"/>
    <mergeCell ref="A123:D123"/>
    <mergeCell ref="E123:AR123"/>
    <mergeCell ref="AS123:BB123"/>
    <mergeCell ref="BC123:BM123"/>
    <mergeCell ref="BN123:CB123"/>
    <mergeCell ref="AS124:BB124"/>
    <mergeCell ref="BC124:BM124"/>
    <mergeCell ref="AS122:BB122"/>
    <mergeCell ref="AS118:BB118"/>
    <mergeCell ref="AS119:BB119"/>
    <mergeCell ref="A127:D127"/>
    <mergeCell ref="E127:AR127"/>
    <mergeCell ref="AS127:BB127"/>
    <mergeCell ref="E116:AR116"/>
    <mergeCell ref="AS116:BB116"/>
    <mergeCell ref="E126:AR126"/>
    <mergeCell ref="A125:D125"/>
    <mergeCell ref="E125:AR125"/>
    <mergeCell ref="AS125:BB125"/>
    <mergeCell ref="A121:D121"/>
    <mergeCell ref="E121:AR121"/>
    <mergeCell ref="AS121:BB121"/>
    <mergeCell ref="BN25:CB25"/>
    <mergeCell ref="BN27:CB27"/>
    <mergeCell ref="E41:AN41"/>
    <mergeCell ref="E43:AN43"/>
    <mergeCell ref="E44:AN44"/>
    <mergeCell ref="BN17:CB17"/>
    <mergeCell ref="BN18:CB18"/>
    <mergeCell ref="BN43:CB43"/>
    <mergeCell ref="E17:AM17"/>
    <mergeCell ref="BD39:BM39"/>
    <mergeCell ref="AO40:BC40"/>
    <mergeCell ref="AO41:BC41"/>
    <mergeCell ref="AO44:BC44"/>
    <mergeCell ref="AO42:BC42"/>
    <mergeCell ref="AO43:BC43"/>
    <mergeCell ref="BD21:BM21"/>
    <mergeCell ref="AN22:BC22"/>
    <mergeCell ref="BD22:BM22"/>
    <mergeCell ref="BN38:CB38"/>
    <mergeCell ref="AN8:BC8"/>
    <mergeCell ref="AN10:BC10"/>
    <mergeCell ref="AN11:BC11"/>
    <mergeCell ref="AN12:BC12"/>
    <mergeCell ref="BD17:BM17"/>
    <mergeCell ref="BN10:CB10"/>
    <mergeCell ref="BN11:CB11"/>
    <mergeCell ref="BN12:CB12"/>
    <mergeCell ref="BN13:CB13"/>
    <mergeCell ref="BN14:CB14"/>
    <mergeCell ref="BN15:CB15"/>
    <mergeCell ref="BD16:BM16"/>
    <mergeCell ref="BN16:CB16"/>
    <mergeCell ref="CG34:CG35"/>
    <mergeCell ref="CI71:CI73"/>
    <mergeCell ref="CC72:CC73"/>
    <mergeCell ref="A8:D8"/>
    <mergeCell ref="A10:D10"/>
    <mergeCell ref="A11:D11"/>
    <mergeCell ref="A12:D12"/>
    <mergeCell ref="A13:D13"/>
    <mergeCell ref="A14:D14"/>
    <mergeCell ref="A50:D50"/>
    <mergeCell ref="E8:AM8"/>
    <mergeCell ref="E10:AM10"/>
    <mergeCell ref="E11:AM11"/>
    <mergeCell ref="E12:AM12"/>
    <mergeCell ref="E13:AM13"/>
    <mergeCell ref="E15:AM15"/>
    <mergeCell ref="E14:AM14"/>
    <mergeCell ref="E9:AM9"/>
    <mergeCell ref="AN13:BC13"/>
    <mergeCell ref="AN14:BC14"/>
    <mergeCell ref="A15:D15"/>
    <mergeCell ref="A17:D17"/>
    <mergeCell ref="AN17:BC17"/>
    <mergeCell ref="A16:D16"/>
    <mergeCell ref="CC33:CD33"/>
    <mergeCell ref="AO57:BC57"/>
    <mergeCell ref="BD32:BM35"/>
    <mergeCell ref="BN32:CB35"/>
    <mergeCell ref="CC62:CD62"/>
    <mergeCell ref="BN51:CB51"/>
    <mergeCell ref="BN57:CB57"/>
    <mergeCell ref="BN54:CB54"/>
    <mergeCell ref="BN47:CB47"/>
    <mergeCell ref="BN50:CB50"/>
    <mergeCell ref="AO45:BC45"/>
    <mergeCell ref="BN39:CB39"/>
    <mergeCell ref="BN48:CB48"/>
    <mergeCell ref="BN44:CB44"/>
    <mergeCell ref="BN45:CB45"/>
    <mergeCell ref="BD46:BM46"/>
    <mergeCell ref="BD54:BM54"/>
    <mergeCell ref="BD50:BM50"/>
    <mergeCell ref="A54:D54"/>
    <mergeCell ref="BD36:BM36"/>
    <mergeCell ref="E37:AN37"/>
    <mergeCell ref="E39:AN39"/>
    <mergeCell ref="AO46:BC46"/>
    <mergeCell ref="A37:D37"/>
    <mergeCell ref="AO36:BC36"/>
    <mergeCell ref="E54:AN54"/>
    <mergeCell ref="A46:D46"/>
    <mergeCell ref="E42:AN42"/>
    <mergeCell ref="BD37:BM37"/>
    <mergeCell ref="E50:AN50"/>
    <mergeCell ref="AO50:BC50"/>
    <mergeCell ref="BD47:BM47"/>
    <mergeCell ref="A41:D41"/>
    <mergeCell ref="A48:D48"/>
    <mergeCell ref="A49:D49"/>
    <mergeCell ref="E45:AN45"/>
    <mergeCell ref="A42:D42"/>
    <mergeCell ref="A43:D43"/>
    <mergeCell ref="A44:D44"/>
    <mergeCell ref="A57:AN57"/>
    <mergeCell ref="CC5:CC6"/>
    <mergeCell ref="CE4:CH4"/>
    <mergeCell ref="BD3:BM6"/>
    <mergeCell ref="AO37:BC37"/>
    <mergeCell ref="AO39:BC39"/>
    <mergeCell ref="CE34:CE35"/>
    <mergeCell ref="CE5:CE6"/>
    <mergeCell ref="CD5:CD6"/>
    <mergeCell ref="BD14:BM14"/>
    <mergeCell ref="CC3:CI3"/>
    <mergeCell ref="CG5:CG6"/>
    <mergeCell ref="CH5:CH6"/>
    <mergeCell ref="BD7:BM7"/>
    <mergeCell ref="BN36:CB36"/>
    <mergeCell ref="A28:AM28"/>
    <mergeCell ref="E32:AN35"/>
    <mergeCell ref="A36:D36"/>
    <mergeCell ref="CE33:CH33"/>
    <mergeCell ref="AN28:BC28"/>
    <mergeCell ref="A7:D7"/>
    <mergeCell ref="CC32:CI32"/>
    <mergeCell ref="CI33:CI35"/>
    <mergeCell ref="A3:D6"/>
    <mergeCell ref="E7:AM7"/>
    <mergeCell ref="BN3:CB6"/>
    <mergeCell ref="E46:AN46"/>
    <mergeCell ref="BD55:BM55"/>
    <mergeCell ref="BD15:BM15"/>
    <mergeCell ref="BN8:CB8"/>
    <mergeCell ref="AN15:BC15"/>
    <mergeCell ref="AN7:BC7"/>
    <mergeCell ref="BN7:CB7"/>
    <mergeCell ref="AN3:BC6"/>
    <mergeCell ref="E36:AN36"/>
    <mergeCell ref="AO55:BC55"/>
    <mergeCell ref="E20:AM20"/>
    <mergeCell ref="AN18:BC18"/>
    <mergeCell ref="E49:AN49"/>
    <mergeCell ref="E3:AM6"/>
    <mergeCell ref="AO32:BC35"/>
    <mergeCell ref="BN37:CB37"/>
    <mergeCell ref="E16:AM16"/>
    <mergeCell ref="AN16:BC16"/>
    <mergeCell ref="BD8:BM8"/>
    <mergeCell ref="BD10:BM10"/>
    <mergeCell ref="BD11:BM11"/>
    <mergeCell ref="BD12:BM12"/>
    <mergeCell ref="CC4:CD4"/>
    <mergeCell ref="CH92:CH93"/>
    <mergeCell ref="CC61:CI61"/>
    <mergeCell ref="CD72:CD73"/>
    <mergeCell ref="CD63:CD64"/>
    <mergeCell ref="CE63:CE64"/>
    <mergeCell ref="CG72:CG73"/>
    <mergeCell ref="AO49:BC49"/>
    <mergeCell ref="BD49:BM49"/>
    <mergeCell ref="BN49:CB49"/>
    <mergeCell ref="BN28:CB28"/>
    <mergeCell ref="BN46:CB46"/>
    <mergeCell ref="BN40:CB40"/>
    <mergeCell ref="BN41:CB41"/>
    <mergeCell ref="BN42:CB42"/>
    <mergeCell ref="BN55:CB55"/>
    <mergeCell ref="CE62:CH62"/>
    <mergeCell ref="CI62:CI64"/>
    <mergeCell ref="CD34:CD35"/>
    <mergeCell ref="CH34:CH35"/>
    <mergeCell ref="CI4:CI6"/>
    <mergeCell ref="BD56:BM56"/>
    <mergeCell ref="CC34:CC35"/>
    <mergeCell ref="CH72:CH73"/>
    <mergeCell ref="A97:D97"/>
    <mergeCell ref="A98:AR98"/>
    <mergeCell ref="CF92:CF93"/>
    <mergeCell ref="AS94:BB94"/>
    <mergeCell ref="CC92:CC93"/>
    <mergeCell ref="AS97:BB97"/>
    <mergeCell ref="E95:AR95"/>
    <mergeCell ref="AS98:BB98"/>
    <mergeCell ref="CE91:CH91"/>
    <mergeCell ref="CE92:CE93"/>
    <mergeCell ref="CD92:CD93"/>
    <mergeCell ref="CG92:CG93"/>
    <mergeCell ref="E97:AR97"/>
    <mergeCell ref="A90:D93"/>
    <mergeCell ref="A95:D95"/>
    <mergeCell ref="BC130:BM130"/>
    <mergeCell ref="A131:AR131"/>
    <mergeCell ref="A116:D116"/>
    <mergeCell ref="BN117:CB117"/>
    <mergeCell ref="A112:D112"/>
    <mergeCell ref="E112:AR112"/>
    <mergeCell ref="AS112:BB112"/>
    <mergeCell ref="AS131:BB131"/>
    <mergeCell ref="BC131:BM131"/>
    <mergeCell ref="BN131:CB131"/>
    <mergeCell ref="BC119:BM119"/>
    <mergeCell ref="BN119:CB119"/>
    <mergeCell ref="BN130:CB130"/>
    <mergeCell ref="BN122:CB122"/>
    <mergeCell ref="BN120:CB120"/>
    <mergeCell ref="BN116:CB116"/>
    <mergeCell ref="A119:D119"/>
    <mergeCell ref="E119:AR119"/>
    <mergeCell ref="BC116:BM116"/>
    <mergeCell ref="A130:D130"/>
    <mergeCell ref="E130:AR130"/>
    <mergeCell ref="AS130:BB130"/>
    <mergeCell ref="A118:D118"/>
    <mergeCell ref="E118:AR118"/>
    <mergeCell ref="A117:D117"/>
    <mergeCell ref="E117:AR117"/>
    <mergeCell ref="AS117:BB117"/>
    <mergeCell ref="BC117:BM117"/>
    <mergeCell ref="E109:AR109"/>
    <mergeCell ref="AS109:BB109"/>
    <mergeCell ref="BC108:BM108"/>
    <mergeCell ref="BN115:CB115"/>
    <mergeCell ref="BN112:CB112"/>
    <mergeCell ref="BC115:BM115"/>
    <mergeCell ref="BN108:CB108"/>
    <mergeCell ref="A108:D108"/>
    <mergeCell ref="A115:AR115"/>
    <mergeCell ref="AS115:BB115"/>
    <mergeCell ref="E108:AR108"/>
    <mergeCell ref="AS108:BB108"/>
    <mergeCell ref="AS100:BB100"/>
    <mergeCell ref="BC100:BM100"/>
    <mergeCell ref="AS96:BB96"/>
    <mergeCell ref="BC96:BM96"/>
    <mergeCell ref="BN102:CB102"/>
    <mergeCell ref="AS101:BB101"/>
    <mergeCell ref="CC63:CC64"/>
    <mergeCell ref="BC109:BM109"/>
    <mergeCell ref="BN109:CB109"/>
    <mergeCell ref="BC105:BM105"/>
    <mergeCell ref="BC98:BM98"/>
    <mergeCell ref="BN98:CB98"/>
    <mergeCell ref="BN106:CB106"/>
    <mergeCell ref="BN100:CB100"/>
    <mergeCell ref="BN105:CB105"/>
    <mergeCell ref="BC104:BM104"/>
    <mergeCell ref="BC103:BM103"/>
    <mergeCell ref="BC97:BM97"/>
    <mergeCell ref="BN104:CB104"/>
    <mergeCell ref="AS74:BB74"/>
    <mergeCell ref="BC74:BM74"/>
    <mergeCell ref="AS70:BB73"/>
    <mergeCell ref="BC70:BM73"/>
    <mergeCell ref="CC71:CD71"/>
    <mergeCell ref="BC80:BM80"/>
    <mergeCell ref="BC107:BM107"/>
    <mergeCell ref="BC101:BM101"/>
    <mergeCell ref="BN101:CB101"/>
    <mergeCell ref="BN107:CB107"/>
    <mergeCell ref="BN97:CB97"/>
    <mergeCell ref="CH63:CH64"/>
    <mergeCell ref="CG63:CG64"/>
    <mergeCell ref="BN103:CB103"/>
    <mergeCell ref="CE72:CE73"/>
    <mergeCell ref="BN74:CB74"/>
    <mergeCell ref="CC70:CI70"/>
    <mergeCell ref="CE71:CH71"/>
    <mergeCell ref="BC86:BM86"/>
    <mergeCell ref="BN86:CB86"/>
    <mergeCell ref="AO61:BC64"/>
    <mergeCell ref="BD61:BM64"/>
    <mergeCell ref="BC82:BM82"/>
    <mergeCell ref="E79:AR79"/>
    <mergeCell ref="A100:AR100"/>
    <mergeCell ref="BN81:CB81"/>
    <mergeCell ref="A86:AR86"/>
    <mergeCell ref="A82:D82"/>
    <mergeCell ref="E82:AR82"/>
    <mergeCell ref="A101:D101"/>
    <mergeCell ref="AS103:BB103"/>
    <mergeCell ref="CC90:CI90"/>
    <mergeCell ref="CC91:CD91"/>
    <mergeCell ref="E56:AN56"/>
    <mergeCell ref="E80:AR80"/>
    <mergeCell ref="AS80:BB80"/>
    <mergeCell ref="AS104:BB104"/>
    <mergeCell ref="A66:AN66"/>
    <mergeCell ref="A56:D56"/>
    <mergeCell ref="E99:AR99"/>
    <mergeCell ref="AS102:BB102"/>
    <mergeCell ref="BC95:BM95"/>
    <mergeCell ref="BN95:CB95"/>
    <mergeCell ref="BC94:BM94"/>
    <mergeCell ref="BN94:CB94"/>
    <mergeCell ref="BN61:CB64"/>
    <mergeCell ref="AO66:BC66"/>
    <mergeCell ref="BN66:CB66"/>
    <mergeCell ref="BN80:CB80"/>
    <mergeCell ref="CI91:CI93"/>
    <mergeCell ref="BD66:BM66"/>
    <mergeCell ref="BN99:CB99"/>
    <mergeCell ref="BN76:CB76"/>
    <mergeCell ref="A114:D114"/>
    <mergeCell ref="E114:AR114"/>
    <mergeCell ref="AS114:BB114"/>
    <mergeCell ref="BC114:BM114"/>
    <mergeCell ref="BN114:CB114"/>
    <mergeCell ref="E105:AR105"/>
    <mergeCell ref="BC112:BM112"/>
    <mergeCell ref="BC110:BM110"/>
    <mergeCell ref="BN110:CB110"/>
    <mergeCell ref="AS105:BB105"/>
    <mergeCell ref="A105:D105"/>
    <mergeCell ref="A107:D107"/>
    <mergeCell ref="A106:D106"/>
    <mergeCell ref="A74:D74"/>
    <mergeCell ref="E74:AR74"/>
    <mergeCell ref="A55:D55"/>
    <mergeCell ref="A25:D25"/>
    <mergeCell ref="A27:D27"/>
    <mergeCell ref="BD27:BM27"/>
    <mergeCell ref="AO56:BC56"/>
    <mergeCell ref="BN56:CB56"/>
    <mergeCell ref="A113:D113"/>
    <mergeCell ref="E113:AR113"/>
    <mergeCell ref="AS113:BB113"/>
    <mergeCell ref="BC113:BM113"/>
    <mergeCell ref="BN113:CB113"/>
    <mergeCell ref="BN96:CB96"/>
    <mergeCell ref="A96:AR96"/>
    <mergeCell ref="BN65:CB65"/>
    <mergeCell ref="A80:D80"/>
    <mergeCell ref="A102:D102"/>
    <mergeCell ref="A103:AR103"/>
    <mergeCell ref="A104:AR104"/>
    <mergeCell ref="E101:AR101"/>
    <mergeCell ref="BC99:BM99"/>
    <mergeCell ref="E102:AR102"/>
    <mergeCell ref="BC102:BM102"/>
    <mergeCell ref="BN9:CB9"/>
    <mergeCell ref="A24:D24"/>
    <mergeCell ref="E24:AM24"/>
    <mergeCell ref="AN24:BC24"/>
    <mergeCell ref="BD24:BM24"/>
    <mergeCell ref="BD20:BM20"/>
    <mergeCell ref="BN20:CB20"/>
    <mergeCell ref="AN20:BC20"/>
    <mergeCell ref="A18:D18"/>
    <mergeCell ref="A9:D9"/>
    <mergeCell ref="AN9:BC9"/>
    <mergeCell ref="BD9:BM9"/>
    <mergeCell ref="A19:D19"/>
    <mergeCell ref="A20:D20"/>
    <mergeCell ref="BD13:BM13"/>
    <mergeCell ref="E19:AM19"/>
    <mergeCell ref="E22:AM22"/>
    <mergeCell ref="BN19:CB19"/>
    <mergeCell ref="BD18:BM18"/>
    <mergeCell ref="BD19:BM19"/>
    <mergeCell ref="E18:AM18"/>
    <mergeCell ref="AN19:BC19"/>
    <mergeCell ref="BN21:CB21"/>
    <mergeCell ref="BN22:CB22"/>
    <mergeCell ref="A111:D111"/>
    <mergeCell ref="E111:AR111"/>
    <mergeCell ref="AS111:BB111"/>
    <mergeCell ref="BC111:BM111"/>
    <mergeCell ref="BN111:CB111"/>
    <mergeCell ref="A109:D109"/>
    <mergeCell ref="A110:D110"/>
    <mergeCell ref="E110:AR110"/>
    <mergeCell ref="AS110:BB110"/>
    <mergeCell ref="BN53:CB53"/>
    <mergeCell ref="E27:AM27"/>
    <mergeCell ref="AN27:BC27"/>
    <mergeCell ref="A53:D53"/>
    <mergeCell ref="E53:AN53"/>
    <mergeCell ref="AO53:BC53"/>
    <mergeCell ref="BD53:BM53"/>
    <mergeCell ref="E48:AN48"/>
    <mergeCell ref="AO48:BC48"/>
    <mergeCell ref="BD48:BM48"/>
    <mergeCell ref="A39:D39"/>
    <mergeCell ref="A40:D40"/>
    <mergeCell ref="A32:D35"/>
    <mergeCell ref="BD28:BM28"/>
  </mergeCells>
  <pageMargins left="0.78740157480314965" right="0.39370078740157483" top="0.59055118110236227" bottom="0.39370078740157483" header="0.27559055118110237" footer="0.27559055118110237"/>
  <pageSetup paperSize="9" scale="71" orientation="landscape" r:id="rId1"/>
  <headerFooter alignWithMargins="0"/>
  <rowBreaks count="3" manualBreakCount="3">
    <brk id="29" max="16383" man="1"/>
    <brk id="58" max="16383" man="1"/>
    <brk id="103" max="1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ДДЮТ</vt:lpstr>
      <vt:lpstr>Лист1 (2)</vt:lpstr>
      <vt:lpstr>Лист1 (3)</vt:lpstr>
      <vt:lpstr>Лист2</vt:lpstr>
      <vt:lpstr>Лист3</vt:lpstr>
      <vt:lpstr>Лист5</vt:lpstr>
      <vt:lpstr>Лист6</vt:lpstr>
      <vt:lpstr>Лист6 (247)</vt:lpstr>
      <vt:lpstr>Лист7</vt:lpstr>
      <vt:lpstr>Лист8</vt:lpstr>
      <vt:lpstr>Лист1 (4)</vt:lpstr>
      <vt:lpstr>Лист1 (5)</vt:lpstr>
      <vt:lpstr>Лист2 (2)</vt:lpstr>
      <vt:lpstr>Лист3 (2)</vt:lpstr>
      <vt:lpstr>Лист5 (2)</vt:lpstr>
      <vt:lpstr>Лист6 (2)</vt:lpstr>
      <vt:lpstr>Лист6 (244)</vt:lpstr>
      <vt:lpstr>Лист7 (2)</vt:lpstr>
      <vt:lpstr>Лист8 (2)</vt:lpstr>
    </vt:vector>
  </TitlesOfParts>
  <Manager/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2021-02-19T07:40:08Z</cp:lastPrinted>
  <dcterms:created xsi:type="dcterms:W3CDTF">2004-09-19T06:34:55Z</dcterms:created>
  <dcterms:modified xsi:type="dcterms:W3CDTF">2021-12-27T08:04:59Z</dcterms:modified>
  <cp:category/>
</cp:coreProperties>
</file>